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20" windowHeight="11325" tabRatio="599" activeTab="0"/>
  </bookViews>
  <sheets>
    <sheet name="CALCULADORA" sheetId="1" r:id="rId1"/>
    <sheet name="Hoja2" sheetId="2" r:id="rId2"/>
    <sheet name="CALCULO MASIVO" sheetId="3" r:id="rId3"/>
    <sheet name="Hoja1" sheetId="4" state="hidden" r:id="rId4"/>
    <sheet name="FIJOS DISCONTINUOS" sheetId="5" r:id="rId5"/>
  </sheets>
  <definedNames>
    <definedName name="_xlnm.Print_Area" localSheetId="0">'CALCULADORA'!$B$3:$O$105</definedName>
    <definedName name="_xlnm.Print_Area" localSheetId="4">'FIJOS DISCONTINUOS'!$B$3:$O$63</definedName>
  </definedNames>
  <calcPr fullCalcOnLoad="1"/>
</workbook>
</file>

<file path=xl/comments1.xml><?xml version="1.0" encoding="utf-8"?>
<comments xmlns="http://schemas.openxmlformats.org/spreadsheetml/2006/main">
  <authors>
    <author>USUARIO</author>
    <author>Herminio</author>
    <author>usuario</author>
    <author>Herminio Duarte</author>
  </authors>
  <commentList>
    <comment ref="B1" authorId="0">
      <text>
        <r>
          <rPr>
            <sz val="9"/>
            <rFont val="Tahoma"/>
            <family val="2"/>
          </rPr>
          <t xml:space="preserve">
Esta hoja electrónica está diseñada como una herramienta de ayuda, adaptada a la normativa y la doctrina jurisprudencial vigentes. 
No obstante,</t>
        </r>
        <r>
          <rPr>
            <b/>
            <sz val="9"/>
            <rFont val="Tahoma"/>
            <family val="2"/>
          </rPr>
          <t xml:space="preserve"> se declina cualquier responsabilidad derivada de su uso personal o profesional.</t>
        </r>
        <r>
          <rPr>
            <sz val="9"/>
            <rFont val="Tahoma"/>
            <family val="2"/>
          </rPr>
          <t xml:space="preserve">
Agradecería que se comunicase cualquier funcionamiento incorrecto que se observase.
</t>
        </r>
      </text>
    </comment>
    <comment ref="N3" authorId="1">
      <text>
        <r>
          <rPr>
            <sz val="9"/>
            <rFont val="Tahoma"/>
            <family val="2"/>
          </rPr>
          <t>La hoja sólo calculará la prestación directa a cargo del FOGASA para despidos efectuados con anterioridad al 1/01/2014.
(D.F.5ª Ley 22/2013)</t>
        </r>
      </text>
    </comment>
    <comment ref="B11" authorId="1">
      <text>
        <r>
          <rPr>
            <b/>
            <sz val="9"/>
            <rFont val="Tahoma"/>
            <family val="2"/>
          </rPr>
          <t>Herminio:</t>
        </r>
        <r>
          <rPr>
            <sz val="9"/>
            <rFont val="Tahoma"/>
            <family val="2"/>
          </rPr>
          <t xml:space="preserve">
Espacio reservado para los datos de la ASESORÍA.</t>
        </r>
      </text>
    </comment>
    <comment ref="L7" authorId="1">
      <text>
        <r>
          <rPr>
            <b/>
            <sz val="9"/>
            <rFont val="Tahoma"/>
            <family val="2"/>
          </rPr>
          <t>Herminio:</t>
        </r>
        <r>
          <rPr>
            <sz val="9"/>
            <rFont val="Tahoma"/>
            <family val="2"/>
          </rPr>
          <t xml:space="preserve">
Si la BC es mensual (30 días/mes), para obtener el salario diario se anualizará y dividirá por 365.
Si la BC es diaria (29,30 o 31 días/mes), el salario diario se obtendrá directamente del cociente. </t>
        </r>
      </text>
    </comment>
    <comment ref="C99" authorId="2">
      <text>
        <r>
          <rPr>
            <b/>
            <sz val="9"/>
            <rFont val="Tahoma"/>
            <family val="2"/>
          </rPr>
          <t>BASE REGULADORA:</t>
        </r>
        <r>
          <rPr>
            <sz val="9"/>
            <rFont val="Tahoma"/>
            <family val="2"/>
          </rPr>
          <t xml:space="preserve">
Es el promedio de las bases de cotización por desempleo de los últimos 180 días trabajados, excluidas las retribuciones percibidas en concepto de horas extraordinarias.
</t>
        </r>
        <r>
          <rPr>
            <b/>
            <sz val="9"/>
            <rFont val="Tahoma"/>
            <family val="2"/>
          </rPr>
          <t>Por defecto</t>
        </r>
        <r>
          <rPr>
            <sz val="9"/>
            <rFont val="Tahoma"/>
            <family val="2"/>
          </rPr>
          <t xml:space="preserve">, la aplicación utiliza el salario, pero el usuario puede cambiar el dato. 
</t>
        </r>
      </text>
    </comment>
    <comment ref="B28" authorId="3">
      <text>
        <r>
          <rPr>
            <b/>
            <sz val="9"/>
            <rFont val="Tahoma"/>
            <family val="2"/>
          </rPr>
          <t>Herminio Duarte:</t>
        </r>
        <r>
          <rPr>
            <sz val="9"/>
            <rFont val="Tahoma"/>
            <family val="2"/>
          </rPr>
          <t xml:space="preserve">
La STS 1414/2017 de 28/03/2017 adopta un nuevo criterio cuantitativo de la indemnización derivada de la extinción del contrato del </t>
        </r>
        <r>
          <rPr>
            <b/>
            <sz val="9"/>
            <rFont val="Tahoma"/>
            <family val="2"/>
          </rPr>
          <t>indefinido no fijo</t>
        </r>
        <r>
          <rPr>
            <sz val="9"/>
            <rFont val="Tahoma"/>
            <family val="2"/>
          </rPr>
          <t xml:space="preserve"> por la </t>
        </r>
        <r>
          <rPr>
            <b/>
            <sz val="9"/>
            <rFont val="Tahoma"/>
            <family val="2"/>
          </rPr>
          <t>cobertura reglamentaria de la plaza</t>
        </r>
        <r>
          <rPr>
            <sz val="9"/>
            <rFont val="Tahoma"/>
            <family val="2"/>
          </rPr>
          <t>, y la equipara al despido por causas objetivas.</t>
        </r>
      </text>
    </comment>
    <comment ref="K25" authorId="3">
      <text>
        <r>
          <rPr>
            <b/>
            <sz val="9"/>
            <rFont val="Tahoma"/>
            <family val="2"/>
          </rPr>
          <t>Herminio Duarte:</t>
        </r>
        <r>
          <rPr>
            <sz val="9"/>
            <rFont val="Tahoma"/>
            <family val="2"/>
          </rPr>
          <t xml:space="preserve">
No procede tener en cuenta que el despido se haya producido en año bisiesto, sino que el importe anual percibido debe dividirse entre 365, como de ordinario
STS (Social) 25 de febrero 2020, recurso 3230/2017.</t>
        </r>
      </text>
    </comment>
  </commentList>
</comments>
</file>

<file path=xl/comments3.xml><?xml version="1.0" encoding="utf-8"?>
<comments xmlns="http://schemas.openxmlformats.org/spreadsheetml/2006/main">
  <authors>
    <author>Herminio</author>
    <author>USUARIO</author>
  </authors>
  <commentList>
    <comment ref="B3" authorId="0">
      <text>
        <r>
          <rPr>
            <sz val="9"/>
            <rFont val="Tahoma"/>
            <family val="2"/>
          </rPr>
          <t xml:space="preserve">
Introduce a continuación los nombres, antigüedades y salario diario.</t>
        </r>
      </text>
    </comment>
    <comment ref="E3" authorId="0">
      <text>
        <r>
          <rPr>
            <sz val="9"/>
            <rFont val="Tahoma"/>
            <family val="2"/>
          </rPr>
          <t xml:space="preserve">
Indemnización calculada sobre  20 días de salario por año de servicio con máximo de 12 mensualidades</t>
        </r>
      </text>
    </comment>
    <comment ref="F3" authorId="0">
      <text>
        <r>
          <rPr>
            <sz val="9"/>
            <rFont val="Tahoma"/>
            <family val="2"/>
          </rPr>
          <t xml:space="preserve">
Indeminzación calculada a razón de 45 días de salario por año de servicio hasta el 12 de febrero de 2012, con un máximo de 42 mensualidades y a razón de 33 días de salario por año de servicio desde esa fecha, con un máximo de 720 días. </t>
        </r>
      </text>
    </comment>
    <comment ref="I3" authorId="0">
      <text>
        <r>
          <rPr>
            <sz val="9"/>
            <rFont val="Tahoma"/>
            <family val="2"/>
          </rPr>
          <t>Prestación maxima abonada por el FOGASA, con el límite del doble del SMI, en caso de que el despido se declare procedente y la empresa se encuentre en situación de insolvencia o concurso de acreedores.</t>
        </r>
      </text>
    </comment>
    <comment ref="J3" authorId="0">
      <text>
        <r>
          <rPr>
            <sz val="9"/>
            <rFont val="Tahoma"/>
            <family val="2"/>
          </rPr>
          <t>Prestación maxima abonada por el FOGASA, consistente en 30 días de salario por año de servicio, con el límite de una anualidad y el doble del SMI, en caso de que el despido se declare improcedente y la empresa se encuentre en situación de insolvencia o concurso de acreedores.</t>
        </r>
      </text>
    </comment>
    <comment ref="G3" authorId="0">
      <text>
        <r>
          <rPr>
            <sz val="9"/>
            <rFont val="Tahoma"/>
            <family val="2"/>
          </rPr>
          <t xml:space="preserve">
Indemnización calculada a razon de los días establecidos en la casilla superior, con los límites del despido improcedente.</t>
        </r>
      </text>
    </comment>
    <comment ref="F1" authorId="1">
      <text>
        <r>
          <rPr>
            <sz val="9"/>
            <rFont val="Tahoma"/>
            <family val="2"/>
          </rPr>
          <t xml:space="preserve">
Esta hoja electrónica está diseñada como una herramienta de ayuda, adaptada a la normativa y la doctrina jurisprudencial vigentes. 
No obstante, </t>
        </r>
        <r>
          <rPr>
            <b/>
            <sz val="9"/>
            <rFont val="Tahoma"/>
            <family val="2"/>
          </rPr>
          <t>se declina cualquier responsabilidad derivada de su uso personal o profesional.</t>
        </r>
        <r>
          <rPr>
            <sz val="9"/>
            <rFont val="Tahoma"/>
            <family val="2"/>
          </rPr>
          <t xml:space="preserve">
Agradecería que se comunicase cualquier funcionamiento incorrecto que se observase.
</t>
        </r>
      </text>
    </comment>
  </commentList>
</comments>
</file>

<file path=xl/comments5.xml><?xml version="1.0" encoding="utf-8"?>
<comments xmlns="http://schemas.openxmlformats.org/spreadsheetml/2006/main">
  <authors>
    <author>USUARIO</author>
    <author>Herminio</author>
  </authors>
  <commentList>
    <comment ref="B1" authorId="0">
      <text>
        <r>
          <rPr>
            <sz val="9"/>
            <rFont val="Tahoma"/>
            <family val="2"/>
          </rPr>
          <t xml:space="preserve">
Esta hoja electrónica está diseñada como una herramienta de ayuda, adaptada a la normativa y la doctrina jurisprudencial vigentes. 
No obstante,</t>
        </r>
        <r>
          <rPr>
            <b/>
            <sz val="9"/>
            <rFont val="Tahoma"/>
            <family val="2"/>
          </rPr>
          <t xml:space="preserve"> se declina cualquier responsabilidad derivada de su uso personal o profesional.</t>
        </r>
        <r>
          <rPr>
            <sz val="9"/>
            <rFont val="Tahoma"/>
            <family val="2"/>
          </rPr>
          <t xml:space="preserve">
Agradecería que se comunicase cualquier funcionamiento incorrecto que se observase.
</t>
        </r>
      </text>
    </comment>
    <comment ref="N3" authorId="1">
      <text>
        <r>
          <rPr>
            <sz val="9"/>
            <rFont val="Tahoma"/>
            <family val="2"/>
          </rPr>
          <t>La hoja sólo calculará la prestación directa a cargo del FOGASA para despidos efectuados con anterioridad al 1/01/2014.
(D.F.5ª Ley 22/2013)</t>
        </r>
      </text>
    </comment>
    <comment ref="B13" authorId="1">
      <text>
        <r>
          <rPr>
            <b/>
            <sz val="9"/>
            <rFont val="Tahoma"/>
            <family val="2"/>
          </rPr>
          <t>Herminio:</t>
        </r>
        <r>
          <rPr>
            <sz val="9"/>
            <rFont val="Tahoma"/>
            <family val="2"/>
          </rPr>
          <t xml:space="preserve">
Espacio reservado para CÁLCULOS y los datos de la ASESORÍA.</t>
        </r>
      </text>
    </comment>
    <comment ref="L7" authorId="1">
      <text>
        <r>
          <rPr>
            <b/>
            <sz val="9"/>
            <rFont val="Tahoma"/>
            <family val="2"/>
          </rPr>
          <t>SALARIO:</t>
        </r>
        <r>
          <rPr>
            <sz val="9"/>
            <rFont val="Tahoma"/>
            <family val="2"/>
          </rPr>
          <t xml:space="preserve">
Indique salario cotizado por JORNADAS REALES, en el que se incluye la parte proporcional de vacaciones y festivos. </t>
        </r>
      </text>
    </comment>
  </commentList>
</comments>
</file>

<file path=xl/sharedStrings.xml><?xml version="1.0" encoding="utf-8"?>
<sst xmlns="http://schemas.openxmlformats.org/spreadsheetml/2006/main" count="388" uniqueCount="106">
  <si>
    <t>INDEMNIZACIÓN</t>
  </si>
  <si>
    <t>días</t>
  </si>
  <si>
    <t>% IRPF</t>
  </si>
  <si>
    <t>TOTAL</t>
  </si>
  <si>
    <t>EN CASO DE INSOLVENCIA</t>
  </si>
  <si>
    <t>años</t>
  </si>
  <si>
    <t>meses</t>
  </si>
  <si>
    <t>€ / día</t>
  </si>
  <si>
    <t>HASTA EL 11/02/2012</t>
  </si>
  <si>
    <t>DESDE EL 12/02/2012</t>
  </si>
  <si>
    <t xml:space="preserve">días de salario </t>
  </si>
  <si>
    <t>EMPRESA:</t>
  </si>
  <si>
    <t>TRABAJADOR:</t>
  </si>
  <si>
    <t>FECHA</t>
  </si>
  <si>
    <t>Antigüedad</t>
  </si>
  <si>
    <t>Despido</t>
  </si>
  <si>
    <t>Sentencia</t>
  </si>
  <si>
    <t>Diario</t>
  </si>
  <si>
    <t>Mensual</t>
  </si>
  <si>
    <t>Anual</t>
  </si>
  <si>
    <t>x</t>
  </si>
  <si>
    <t>=</t>
  </si>
  <si>
    <t>DESPIDO IMPROCEDENTE</t>
  </si>
  <si>
    <t>DESPIDO POR CAUSAS OBJETIVAS</t>
  </si>
  <si>
    <t>dias de salario</t>
  </si>
  <si>
    <t>¿Quieres calcularla con otro nº de días por año trabajado?</t>
  </si>
  <si>
    <t>a</t>
  </si>
  <si>
    <t>días / año</t>
  </si>
  <si>
    <t xml:space="preserve">a </t>
  </si>
  <si>
    <t>EN CASO DE READMISIÓN O DELEGADO DE PERSONAL</t>
  </si>
  <si>
    <t>hasta el</t>
  </si>
  <si>
    <t>Dcto S.S.</t>
  </si>
  <si>
    <t>Dcto I.R.P.F.</t>
  </si>
  <si>
    <t>LIQUIDO</t>
  </si>
  <si>
    <t>días x</t>
  </si>
  <si>
    <t>Menos de 25 trab.</t>
  </si>
  <si>
    <t>Salarios de trámite desde el</t>
  </si>
  <si>
    <t xml:space="preserve">Herminio Duarte Molina </t>
  </si>
  <si>
    <t>Abogado  - Graduado Social</t>
  </si>
  <si>
    <t>T. 868 941 460 -  F. 868 941 471  -  M 609 13 48 75</t>
  </si>
  <si>
    <t>E-mail: herminioduartemolina@gmail.com</t>
  </si>
  <si>
    <t xml:space="preserve">HASTA EL </t>
  </si>
  <si>
    <t xml:space="preserve">DESDE EL </t>
  </si>
  <si>
    <t>SALARIO (I.P.P.P.E.)</t>
  </si>
  <si>
    <t>DOBLE SMI</t>
  </si>
  <si>
    <t xml:space="preserve"> </t>
  </si>
  <si>
    <t>Nombre</t>
  </si>
  <si>
    <t>Salario diario</t>
  </si>
  <si>
    <t>Fecha despido</t>
  </si>
  <si>
    <t>Dias acuerdo</t>
  </si>
  <si>
    <t>Indemnización 
D. Objetivo</t>
  </si>
  <si>
    <t>Indemnización 
D. Improcedente</t>
  </si>
  <si>
    <t>Indemnización
según Acuerdo</t>
  </si>
  <si>
    <t>Herminio Duarte Molina</t>
  </si>
  <si>
    <t>B.C. DIARIA</t>
  </si>
  <si>
    <t>B.C. MENSUAL</t>
  </si>
  <si>
    <t>ADVERTENCIA</t>
  </si>
  <si>
    <t>Prestación FOGASA</t>
  </si>
  <si>
    <t>herminio@herminioduarte.com</t>
  </si>
  <si>
    <r>
      <rPr>
        <b/>
        <sz val="10"/>
        <rFont val="Arial"/>
        <family val="2"/>
      </rPr>
      <t>INSOLVENCIA</t>
    </r>
    <r>
      <rPr>
        <sz val="10"/>
        <rFont val="Arial"/>
        <family val="2"/>
      </rPr>
      <t xml:space="preserve">
P. FOGASA
D. Objetivo PROCEDENTE</t>
    </r>
  </si>
  <si>
    <r>
      <rPr>
        <b/>
        <sz val="10"/>
        <rFont val="Arial"/>
        <family val="2"/>
      </rPr>
      <t>INSOLVENCIA</t>
    </r>
    <r>
      <rPr>
        <sz val="10"/>
        <rFont val="Arial"/>
        <family val="2"/>
      </rPr>
      <t xml:space="preserve">
P. FOGASA
 Despido
IMPROCEDENTE</t>
    </r>
  </si>
  <si>
    <t xml:space="preserve">SALARIOS </t>
  </si>
  <si>
    <t>www.herminioduarte.com</t>
  </si>
  <si>
    <t>Calculos efectuados por cortesía de</t>
  </si>
  <si>
    <t>Jornadas reales hasta el 11/02/2012</t>
  </si>
  <si>
    <t>Jornadas reales desde el 12/02/2012</t>
  </si>
  <si>
    <t>SALARIO IPPPE Y FESTIVOS</t>
  </si>
  <si>
    <t xml:space="preserve">Fecha del despido </t>
  </si>
  <si>
    <t xml:space="preserve">FECHAS </t>
  </si>
  <si>
    <t>CALCULO DE INDEMNIZACIÓN DE FIJOS DISCONTINUOS</t>
  </si>
  <si>
    <r>
      <t xml:space="preserve">MODIFICACIÓN SUSTANCIAL DE CONDICIONES DE TRABAJO </t>
    </r>
    <r>
      <rPr>
        <b/>
        <sz val="8"/>
        <rFont val="Arial"/>
        <family val="2"/>
      </rPr>
      <t>(salvo apartado e/)</t>
    </r>
  </si>
  <si>
    <r>
      <t xml:space="preserve">DESPIDO OBJETIVO DECLARADO IMPROCEDENTE </t>
    </r>
    <r>
      <rPr>
        <b/>
        <sz val="8"/>
        <rFont val="Arial"/>
        <family val="2"/>
      </rPr>
      <t>(Contrato de fomento para la contratación indefinida)</t>
    </r>
  </si>
  <si>
    <r>
      <t xml:space="preserve">EXTINCIÓN DE CONTRATO TEMPORAL </t>
    </r>
    <r>
      <rPr>
        <b/>
        <sz val="8"/>
        <rFont val="Arial"/>
        <family val="2"/>
      </rPr>
      <t>(o indefinido no fijo)</t>
    </r>
  </si>
  <si>
    <t>dias en alta</t>
  </si>
  <si>
    <t>MODIFICACIÓN SUSTANCIAL DE CONDICIONES DE TRABAJO</t>
  </si>
  <si>
    <t>MSCT</t>
  </si>
  <si>
    <t xml:space="preserve">Jornadas </t>
  </si>
  <si>
    <t>jornadas</t>
  </si>
  <si>
    <t>Jornadas</t>
  </si>
  <si>
    <t>IMPREM</t>
  </si>
  <si>
    <t>Límite máximo</t>
  </si>
  <si>
    <t>límite mínimo</t>
  </si>
  <si>
    <t>Cuantía de la prestación</t>
  </si>
  <si>
    <t xml:space="preserve">Los 180 primeros días </t>
  </si>
  <si>
    <t>Resto días</t>
  </si>
  <si>
    <t>Días de prestación</t>
  </si>
  <si>
    <t>Importe total prestación</t>
  </si>
  <si>
    <t>PRESTACIÓN DE DESEMPLEO CONTRIBUTIVA</t>
  </si>
  <si>
    <t xml:space="preserve">Nº hijos a cargo </t>
  </si>
  <si>
    <t>Base reguladora</t>
  </si>
  <si>
    <t>d/año</t>
  </si>
  <si>
    <t>HERMINIO DUARTE</t>
  </si>
  <si>
    <t xml:space="preserve">ABOGADOS LABORALISTAS </t>
  </si>
  <si>
    <t>DESPIDO IMPROCEDENTE o EXTINCIÓN POR INCUMPLIMIENTO EMPRESARIAL</t>
  </si>
  <si>
    <t>DESPIDO POR CAUSAS OBJETIVAS o COBERTURA DE PLAZA DE INDEFINIDO NO FIJO</t>
  </si>
  <si>
    <t>Diferencia con despido improcedente</t>
  </si>
  <si>
    <t>Diferencia con despido por c. objetivas</t>
  </si>
  <si>
    <t xml:space="preserve">año de la declaración de insolvencia </t>
  </si>
  <si>
    <t>Año de la declaración de insolvencia</t>
  </si>
  <si>
    <t>SMI</t>
  </si>
  <si>
    <t>AÑO</t>
  </si>
  <si>
    <t>Importe TOTAL de salarios adeudados</t>
  </si>
  <si>
    <t>doble SMI</t>
  </si>
  <si>
    <t>Vigente desde el 1 de septiembre hasta el 31 de diciembre de 2021</t>
  </si>
  <si>
    <t>Vigente hasta el 31 de agosto de 2021</t>
  </si>
  <si>
    <t>ABOGADOS LABORALISTAS</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</si>
</sst>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0000"/>
    <numFmt numFmtId="182" formatCode="0.000000"/>
    <numFmt numFmtId="183" formatCode="0.00000"/>
    <numFmt numFmtId="184" formatCode="0.0000"/>
    <numFmt numFmtId="185" formatCode="0.000"/>
    <numFmt numFmtId="186" formatCode="_-* #,##0.0\ &quot;Pts&quot;_-;\-* #,##0.0\ &quot;Pts&quot;_-;_-* &quot;-&quot;?\ &quot;Pts&quot;_-;_-@_-"/>
    <numFmt numFmtId="187" formatCode="_-* #,##0\ &quot;Pts&quot;_-;\-* #,##0\ &quot;Pts&quot;_-;_-* &quot;-&quot;?\ &quot;Pts&quot;_-;_-@_-"/>
    <numFmt numFmtId="188" formatCode="0.00000000"/>
    <numFmt numFmtId="189" formatCode="d/m/yy"/>
    <numFmt numFmtId="190" formatCode="_-* #,##0.0\ &quot;Pts&quot;_-;\-* #,##0.0\ &quot;Pts&quot;_-;_-* &quot;-&quot;\ &quot;Pts&quot;_-;_-@_-"/>
    <numFmt numFmtId="191" formatCode="_-* #,##0.00\ &quot;Pts&quot;_-;\-* #,##0.00\ &quot;Pts&quot;_-;_-* &quot;-&quot;\ &quot;Pts&quot;_-;_-@_-"/>
    <numFmt numFmtId="192" formatCode="_-* #,##0.00\ &quot;Pts&quot;_-;\-* #,##0.00\ &quot;Pts&quot;_-;_-* &quot;-&quot;?\ &quot;Pts&quot;_-;_-@_-"/>
    <numFmt numFmtId="193" formatCode="00000"/>
    <numFmt numFmtId="194" formatCode="_-* #,##0.0\ &quot;€&quot;_-;\-* #,##0.0\ &quot;€&quot;_-;_-* &quot;-&quot;\ &quot;€&quot;_-;_-@_-"/>
    <numFmt numFmtId="195" formatCode="_-* #,##0.00\ &quot;€&quot;_-;\-* #,##0.00\ &quot;€&quot;_-;_-* &quot;-&quot;\ &quot;€&quot;_-;_-@_-"/>
    <numFmt numFmtId="196" formatCode="#,##0.00\ &quot;€&quot;"/>
    <numFmt numFmtId="197" formatCode="mmm\-yyyy"/>
    <numFmt numFmtId="198" formatCode="_-* #,##0.00\ [$€]_-;\-* #,##0.00\ [$€]_-;_-* &quot;-&quot;??\ [$€]_-;_-@_-"/>
    <numFmt numFmtId="199" formatCode="_-* #,##0.00\ [$€-1]_-;\-* #,##0.00\ [$€-1]_-;_-* &quot;-&quot;??\ [$€-1]_-;_-@_-"/>
    <numFmt numFmtId="200" formatCode="d\-m\-yyyy"/>
    <numFmt numFmtId="201" formatCode="#,##0\ &quot;pta&quot;"/>
    <numFmt numFmtId="202" formatCode="_-* #,##0.00\ [$€-42D]_-;\-* #,##0.00\ [$€-42D]_-;_-* &quot;-&quot;??\ [$€-42D]_-;_-@_-"/>
    <numFmt numFmtId="203" formatCode="_-* #,##0.00\ [$€-81D]_-;\-* #,##0.00\ [$€-81D]_-;_-* &quot;-&quot;??\ [$€-81D]_-;_-@_-"/>
    <numFmt numFmtId="204" formatCode="_-* #,##0.00\ [$€-C0A]_-;\-* #,##0.00\ [$€-C0A]_-;_-* &quot;-&quot;??\ [$€-C0A]_-;_-@_-"/>
    <numFmt numFmtId="205" formatCode="[$-C0A]dddd\,\ dd&quot; de &quot;mmmm&quot; de &quot;yyyy"/>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_-[$€-2]\ * #,##0.00_-;\-[$€-2]\ * #,##0.00_-;_-[$€-2]\ * &quot;-&quot;??_-;_-@_-"/>
    <numFmt numFmtId="211" formatCode="#,##0.00\ [$€-1];[Red]\-#,##0.00\ [$€-1]"/>
    <numFmt numFmtId="212" formatCode="dd\-mm\-yy;@"/>
    <numFmt numFmtId="213" formatCode="_-* #,##0.0\ _P_t_s_-;\-* #,##0.0\ _P_t_s_-;_-* &quot;-&quot;??\ _P_t_s_-;_-@_-"/>
    <numFmt numFmtId="214" formatCode="_-* #,##0\ _P_t_s_-;\-* #,##0\ _P_t_s_-;_-* &quot;-&quot;??\ _P_t_s_-;_-@_-"/>
  </numFmts>
  <fonts count="120">
    <font>
      <sz val="10"/>
      <name val="Arial"/>
      <family val="0"/>
    </font>
    <font>
      <sz val="10"/>
      <name val="Century Gothic"/>
      <family val="2"/>
    </font>
    <font>
      <b/>
      <sz val="12"/>
      <name val="Century Gothic"/>
      <family val="2"/>
    </font>
    <font>
      <sz val="9"/>
      <name val="Arial"/>
      <family val="2"/>
    </font>
    <font>
      <sz val="12"/>
      <name val="Arial"/>
      <family val="2"/>
    </font>
    <font>
      <sz val="12"/>
      <name val="Century Gothic"/>
      <family val="2"/>
    </font>
    <font>
      <u val="single"/>
      <sz val="10"/>
      <color indexed="12"/>
      <name val="Arial"/>
      <family val="2"/>
    </font>
    <font>
      <u val="single"/>
      <sz val="10"/>
      <color indexed="36"/>
      <name val="Arial"/>
      <family val="2"/>
    </font>
    <font>
      <sz val="8"/>
      <name val="Tahoma"/>
      <family val="2"/>
    </font>
    <font>
      <b/>
      <sz val="10"/>
      <name val="Arial"/>
      <family val="2"/>
    </font>
    <font>
      <b/>
      <sz val="9"/>
      <name val="Arial"/>
      <family val="2"/>
    </font>
    <font>
      <b/>
      <i/>
      <sz val="10"/>
      <name val="Arial"/>
      <family val="2"/>
    </font>
    <font>
      <b/>
      <i/>
      <sz val="10"/>
      <color indexed="10"/>
      <name val="Arial"/>
      <family val="2"/>
    </font>
    <font>
      <i/>
      <sz val="9"/>
      <name val="Arial"/>
      <family val="2"/>
    </font>
    <font>
      <sz val="11"/>
      <name val="Arial"/>
      <family val="2"/>
    </font>
    <font>
      <b/>
      <sz val="11"/>
      <name val="Arial"/>
      <family val="2"/>
    </font>
    <font>
      <u val="single"/>
      <sz val="8"/>
      <color indexed="12"/>
      <name val="Arial"/>
      <family val="2"/>
    </font>
    <font>
      <sz val="9"/>
      <name val="Tahoma"/>
      <family val="2"/>
    </font>
    <font>
      <b/>
      <sz val="9"/>
      <name val="Tahoma"/>
      <family val="2"/>
    </font>
    <font>
      <b/>
      <sz val="11"/>
      <color indexed="56"/>
      <name val="Arial"/>
      <family val="2"/>
    </font>
    <font>
      <b/>
      <sz val="10"/>
      <color indexed="60"/>
      <name val="Arial"/>
      <family val="2"/>
    </font>
    <font>
      <u val="single"/>
      <sz val="9"/>
      <color indexed="12"/>
      <name val="Arial"/>
      <family val="2"/>
    </font>
    <font>
      <b/>
      <sz val="10"/>
      <color indexed="52"/>
      <name val="Arial"/>
      <family val="2"/>
    </font>
    <font>
      <b/>
      <sz val="8"/>
      <name val="Arial"/>
      <family val="2"/>
    </font>
    <font>
      <sz val="10"/>
      <color indexed="9"/>
      <name val="Times New Roman"/>
      <family val="1"/>
    </font>
    <font>
      <i/>
      <sz val="10"/>
      <name val="Arial"/>
      <family val="2"/>
    </font>
    <font>
      <b/>
      <sz val="10"/>
      <color indexed="4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56"/>
      <name val="Arial"/>
      <family val="2"/>
    </font>
    <font>
      <sz val="10"/>
      <color indexed="9"/>
      <name val="Arial"/>
      <family val="2"/>
    </font>
    <font>
      <b/>
      <sz val="10"/>
      <color indexed="56"/>
      <name val="Arial"/>
      <family val="2"/>
    </font>
    <font>
      <sz val="10"/>
      <color indexed="10"/>
      <name val="Arial"/>
      <family val="2"/>
    </font>
    <font>
      <b/>
      <sz val="8"/>
      <color indexed="9"/>
      <name val="Arial"/>
      <family val="2"/>
    </font>
    <font>
      <b/>
      <sz val="10"/>
      <color indexed="19"/>
      <name val="Arial"/>
      <family val="2"/>
    </font>
    <font>
      <b/>
      <sz val="10"/>
      <color indexed="10"/>
      <name val="Arial"/>
      <family val="2"/>
    </font>
    <font>
      <sz val="7"/>
      <color indexed="63"/>
      <name val="DokChampa"/>
      <family val="2"/>
    </font>
    <font>
      <b/>
      <sz val="11"/>
      <color indexed="23"/>
      <name val="Arial"/>
      <family val="2"/>
    </font>
    <font>
      <sz val="10"/>
      <color indexed="63"/>
      <name val="Arial"/>
      <family val="2"/>
    </font>
    <font>
      <sz val="10"/>
      <color indexed="53"/>
      <name val="Arial"/>
      <family val="2"/>
    </font>
    <font>
      <u val="single"/>
      <sz val="10"/>
      <color indexed="53"/>
      <name val="Arial"/>
      <family val="2"/>
    </font>
    <font>
      <sz val="7"/>
      <color indexed="53"/>
      <name val="DokChampa"/>
      <family val="2"/>
    </font>
    <font>
      <b/>
      <sz val="10"/>
      <color indexed="62"/>
      <name val="Arial"/>
      <family val="2"/>
    </font>
    <font>
      <i/>
      <sz val="10"/>
      <color indexed="23"/>
      <name val="Arial"/>
      <family val="2"/>
    </font>
    <font>
      <b/>
      <sz val="12"/>
      <color indexed="56"/>
      <name val="Arial Narrow"/>
      <family val="2"/>
    </font>
    <font>
      <b/>
      <i/>
      <sz val="10"/>
      <color indexed="23"/>
      <name val="Arial"/>
      <family val="2"/>
    </font>
    <font>
      <sz val="8"/>
      <color indexed="21"/>
      <name val="Arial"/>
      <family val="2"/>
    </font>
    <font>
      <b/>
      <sz val="9"/>
      <color indexed="19"/>
      <name val="Arial"/>
      <family val="2"/>
    </font>
    <font>
      <b/>
      <sz val="16"/>
      <color indexed="21"/>
      <name val="Arial Narrow"/>
      <family val="2"/>
    </font>
    <font>
      <b/>
      <sz val="16"/>
      <color indexed="23"/>
      <name val="Arial Narrow"/>
      <family val="2"/>
    </font>
    <font>
      <b/>
      <sz val="11"/>
      <color indexed="60"/>
      <name val="Arial"/>
      <family val="2"/>
    </font>
    <font>
      <sz val="7"/>
      <color indexed="56"/>
      <name val="DokChampa"/>
      <family val="2"/>
    </font>
    <font>
      <b/>
      <sz val="12"/>
      <color indexed="53"/>
      <name val="Arial"/>
      <family val="2"/>
    </font>
    <font>
      <sz val="12"/>
      <color indexed="53"/>
      <name val="Arial"/>
      <family val="2"/>
    </font>
    <font>
      <sz val="6"/>
      <color indexed="63"/>
      <name val="Arial"/>
      <family val="2"/>
    </font>
    <font>
      <sz val="8"/>
      <name val="Segoe UI"/>
      <family val="2"/>
    </font>
    <font>
      <b/>
      <sz val="16"/>
      <color indexed="30"/>
      <name val="Arial Narrow"/>
      <family val="2"/>
    </font>
    <font>
      <sz val="8"/>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3"/>
      <name val="Arial"/>
      <family val="2"/>
    </font>
    <font>
      <sz val="10"/>
      <color theme="0"/>
      <name val="Arial"/>
      <family val="2"/>
    </font>
    <font>
      <b/>
      <sz val="10"/>
      <color theme="3"/>
      <name val="Arial"/>
      <family val="2"/>
    </font>
    <font>
      <sz val="10"/>
      <color rgb="FFFF0000"/>
      <name val="Arial"/>
      <family val="2"/>
    </font>
    <font>
      <b/>
      <i/>
      <sz val="10"/>
      <color rgb="FFFF0000"/>
      <name val="Arial"/>
      <family val="2"/>
    </font>
    <font>
      <b/>
      <sz val="11"/>
      <color theme="3"/>
      <name val="Arial"/>
      <family val="2"/>
    </font>
    <font>
      <b/>
      <sz val="8"/>
      <color theme="0"/>
      <name val="Arial"/>
      <family val="2"/>
    </font>
    <font>
      <b/>
      <sz val="10"/>
      <color theme="2" tint="-0.7499799728393555"/>
      <name val="Arial"/>
      <family val="2"/>
    </font>
    <font>
      <b/>
      <sz val="10"/>
      <color rgb="FFFF0000"/>
      <name val="Arial"/>
      <family val="2"/>
    </font>
    <font>
      <sz val="7"/>
      <color theme="1" tint="0.24998000264167786"/>
      <name val="DokChampa"/>
      <family val="2"/>
    </font>
    <font>
      <b/>
      <sz val="11"/>
      <color theme="1" tint="0.49998000264167786"/>
      <name val="Arial"/>
      <family val="2"/>
    </font>
    <font>
      <sz val="10"/>
      <color theme="1" tint="0.24998000264167786"/>
      <name val="Arial"/>
      <family val="2"/>
    </font>
    <font>
      <sz val="10"/>
      <color theme="9" tint="-0.24997000396251678"/>
      <name val="Arial"/>
      <family val="2"/>
    </font>
    <font>
      <u val="single"/>
      <sz val="10"/>
      <color theme="9" tint="-0.24997000396251678"/>
      <name val="Arial"/>
      <family val="2"/>
    </font>
    <font>
      <sz val="7"/>
      <color theme="9" tint="-0.24997000396251678"/>
      <name val="DokChampa"/>
      <family val="2"/>
    </font>
    <font>
      <b/>
      <sz val="10"/>
      <color theme="4"/>
      <name val="Arial"/>
      <family val="2"/>
    </font>
    <font>
      <i/>
      <sz val="10"/>
      <color theme="1" tint="0.49998000264167786"/>
      <name val="Arial"/>
      <family val="2"/>
    </font>
    <font>
      <b/>
      <sz val="12"/>
      <color theme="3"/>
      <name val="Arial Narrow"/>
      <family val="2"/>
    </font>
    <font>
      <b/>
      <i/>
      <sz val="10"/>
      <color theme="1" tint="0.49998000264167786"/>
      <name val="Arial"/>
      <family val="2"/>
    </font>
    <font>
      <b/>
      <sz val="11"/>
      <color rgb="FFC00000"/>
      <name val="Arial"/>
      <family val="2"/>
    </font>
    <font>
      <b/>
      <sz val="9"/>
      <color theme="2" tint="-0.7499799728393555"/>
      <name val="Arial"/>
      <family val="2"/>
    </font>
    <font>
      <b/>
      <sz val="16"/>
      <color rgb="FF008AAB"/>
      <name val="Arial Narrow"/>
      <family val="2"/>
    </font>
    <font>
      <b/>
      <sz val="16"/>
      <color theme="1" tint="0.49998000264167786"/>
      <name val="Arial Narrow"/>
      <family val="2"/>
    </font>
    <font>
      <sz val="8"/>
      <color rgb="FF008AAB"/>
      <name val="Arial"/>
      <family val="2"/>
    </font>
    <font>
      <sz val="7"/>
      <color theme="3"/>
      <name val="DokChampa"/>
      <family val="2"/>
    </font>
    <font>
      <sz val="6"/>
      <color theme="1" tint="0.24998000264167786"/>
      <name val="Arial"/>
      <family val="2"/>
    </font>
    <font>
      <b/>
      <sz val="12"/>
      <color theme="9" tint="-0.24997000396251678"/>
      <name val="Arial"/>
      <family val="2"/>
    </font>
    <font>
      <sz val="12"/>
      <color theme="9" tint="-0.24997000396251678"/>
      <name val="Arial"/>
      <family val="2"/>
    </font>
    <font>
      <b/>
      <sz val="16"/>
      <color rgb="FF0099CC"/>
      <name val="Arial Narrow"/>
      <family val="2"/>
    </font>
    <font>
      <sz val="8"/>
      <color rgb="FF0099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thin"/>
      <top style="medium"/>
      <bottom style="medium"/>
    </border>
    <border>
      <left style="double"/>
      <right>
        <color indexed="63"/>
      </right>
      <top style="medium"/>
      <bottom style="thin"/>
    </border>
    <border>
      <left>
        <color indexed="63"/>
      </left>
      <right style="double"/>
      <top style="medium"/>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double"/>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medium"/>
    </border>
    <border>
      <left>
        <color indexed="63"/>
      </left>
      <right style="medium"/>
      <top style="thin"/>
      <bottom style="thin"/>
    </border>
    <border>
      <left>
        <color indexed="63"/>
      </left>
      <right style="double"/>
      <top>
        <color indexed="63"/>
      </top>
      <bottom style="double"/>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19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80" fillId="0" borderId="8" applyNumberFormat="0" applyFill="0" applyAlignment="0" applyProtection="0"/>
    <xf numFmtId="0" fontId="89" fillId="0" borderId="9" applyNumberFormat="0" applyFill="0" applyAlignment="0" applyProtection="0"/>
  </cellStyleXfs>
  <cellXfs count="282">
    <xf numFmtId="0" fontId="0" fillId="0" borderId="0" xfId="0" applyAlignment="1">
      <alignment/>
    </xf>
    <xf numFmtId="0" fontId="0" fillId="33" borderId="0" xfId="0" applyFill="1" applyAlignment="1">
      <alignment/>
    </xf>
    <xf numFmtId="0" fontId="9"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pplyProtection="1">
      <alignment/>
      <protection/>
    </xf>
    <xf numFmtId="0" fontId="90" fillId="33" borderId="14" xfId="0" applyFont="1" applyFill="1" applyBorder="1" applyAlignment="1" applyProtection="1">
      <alignment/>
      <protection/>
    </xf>
    <xf numFmtId="0" fontId="0" fillId="33" borderId="15" xfId="0" applyFill="1" applyBorder="1" applyAlignment="1" applyProtection="1">
      <alignment/>
      <protection/>
    </xf>
    <xf numFmtId="0" fontId="9" fillId="33" borderId="16" xfId="0" applyFont="1" applyFill="1" applyBorder="1" applyAlignment="1">
      <alignment/>
    </xf>
    <xf numFmtId="0" fontId="0" fillId="33" borderId="17" xfId="0" applyFill="1" applyBorder="1" applyAlignment="1">
      <alignment/>
    </xf>
    <xf numFmtId="0" fontId="0" fillId="33" borderId="14" xfId="0" applyFill="1" applyBorder="1" applyAlignment="1">
      <alignment/>
    </xf>
    <xf numFmtId="0" fontId="0" fillId="33" borderId="15" xfId="0" applyFill="1" applyBorder="1" applyAlignment="1">
      <alignment/>
    </xf>
    <xf numFmtId="0" fontId="9" fillId="33" borderId="11" xfId="0" applyFont="1" applyFill="1" applyBorder="1" applyAlignment="1">
      <alignment/>
    </xf>
    <xf numFmtId="0" fontId="91" fillId="33" borderId="12" xfId="0" applyFont="1" applyFill="1" applyBorder="1" applyAlignment="1" applyProtection="1">
      <alignment/>
      <protection hidden="1" locked="0"/>
    </xf>
    <xf numFmtId="0" fontId="91" fillId="33" borderId="0" xfId="0" applyFont="1" applyFill="1" applyAlignment="1" applyProtection="1">
      <alignment/>
      <protection locked="0"/>
    </xf>
    <xf numFmtId="0" fontId="0" fillId="33" borderId="18" xfId="0" applyFill="1" applyBorder="1" applyAlignment="1">
      <alignment/>
    </xf>
    <xf numFmtId="14" fontId="92" fillId="33" borderId="0" xfId="0" applyNumberFormat="1" applyFont="1" applyFill="1" applyBorder="1" applyAlignment="1" applyProtection="1">
      <alignment/>
      <protection locked="0"/>
    </xf>
    <xf numFmtId="0" fontId="0" fillId="33" borderId="19" xfId="0" applyFill="1" applyBorder="1" applyAlignment="1">
      <alignment/>
    </xf>
    <xf numFmtId="0" fontId="0" fillId="33" borderId="0" xfId="0" applyFill="1" applyBorder="1" applyAlignment="1">
      <alignment/>
    </xf>
    <xf numFmtId="0" fontId="0" fillId="33" borderId="0" xfId="0" applyFill="1" applyBorder="1" applyAlignment="1">
      <alignment horizontal="left"/>
    </xf>
    <xf numFmtId="0" fontId="91" fillId="33" borderId="0" xfId="0" applyFont="1"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19" xfId="0" applyFill="1" applyBorder="1" applyAlignment="1" applyProtection="1">
      <alignment/>
      <protection/>
    </xf>
    <xf numFmtId="0" fontId="0" fillId="33" borderId="16" xfId="0" applyFill="1" applyBorder="1" applyAlignment="1">
      <alignment/>
    </xf>
    <xf numFmtId="14" fontId="92" fillId="33" borderId="17" xfId="0" applyNumberFormat="1" applyFont="1" applyFill="1" applyBorder="1" applyAlignment="1" applyProtection="1">
      <alignment/>
      <protection locked="0"/>
    </xf>
    <xf numFmtId="0" fontId="0" fillId="33" borderId="20" xfId="0" applyFill="1" applyBorder="1" applyAlignment="1">
      <alignment/>
    </xf>
    <xf numFmtId="0" fontId="9" fillId="33" borderId="18" xfId="0" applyFont="1" applyFill="1" applyBorder="1" applyAlignment="1">
      <alignment/>
    </xf>
    <xf numFmtId="0" fontId="3" fillId="33" borderId="21" xfId="0" applyFont="1" applyFill="1" applyBorder="1" applyAlignment="1">
      <alignment/>
    </xf>
    <xf numFmtId="0" fontId="3" fillId="33" borderId="0" xfId="0" applyFont="1" applyFill="1" applyBorder="1" applyAlignment="1">
      <alignment/>
    </xf>
    <xf numFmtId="0" fontId="3" fillId="33" borderId="22" xfId="0" applyFont="1" applyFill="1" applyBorder="1" applyAlignment="1">
      <alignment/>
    </xf>
    <xf numFmtId="0" fontId="3" fillId="33" borderId="19" xfId="0" applyFont="1" applyFill="1" applyBorder="1" applyAlignment="1">
      <alignment/>
    </xf>
    <xf numFmtId="0" fontId="0" fillId="33" borderId="23" xfId="0" applyFill="1" applyBorder="1" applyAlignment="1">
      <alignment/>
    </xf>
    <xf numFmtId="0" fontId="3" fillId="33" borderId="24" xfId="0" applyFont="1" applyFill="1" applyBorder="1" applyAlignment="1">
      <alignment/>
    </xf>
    <xf numFmtId="0" fontId="0" fillId="33" borderId="24" xfId="0" applyFill="1" applyBorder="1" applyAlignment="1">
      <alignment/>
    </xf>
    <xf numFmtId="0" fontId="9" fillId="33" borderId="0" xfId="0" applyFont="1" applyFill="1" applyBorder="1" applyAlignment="1">
      <alignment/>
    </xf>
    <xf numFmtId="0" fontId="10" fillId="33" borderId="0" xfId="0" applyFont="1" applyFill="1" applyBorder="1" applyAlignment="1">
      <alignment/>
    </xf>
    <xf numFmtId="0" fontId="12" fillId="33" borderId="16" xfId="0" applyFont="1" applyFill="1" applyBorder="1" applyAlignment="1">
      <alignment/>
    </xf>
    <xf numFmtId="0" fontId="91" fillId="33" borderId="11" xfId="0" applyFont="1" applyFill="1" applyBorder="1" applyAlignment="1">
      <alignment/>
    </xf>
    <xf numFmtId="0" fontId="12" fillId="33" borderId="18" xfId="0" applyFont="1" applyFill="1" applyBorder="1" applyAlignment="1">
      <alignment/>
    </xf>
    <xf numFmtId="0" fontId="0" fillId="33" borderId="0" xfId="0" applyFont="1" applyFill="1" applyBorder="1" applyAlignment="1">
      <alignment horizontal="right"/>
    </xf>
    <xf numFmtId="0" fontId="0" fillId="33" borderId="17" xfId="0" applyFill="1" applyBorder="1" applyAlignment="1">
      <alignment horizontal="right"/>
    </xf>
    <xf numFmtId="0" fontId="1" fillId="33" borderId="0" xfId="0" applyFont="1" applyFill="1" applyAlignment="1">
      <alignment/>
    </xf>
    <xf numFmtId="199" fontId="2" fillId="33" borderId="0" xfId="0" applyNumberFormat="1" applyFont="1" applyFill="1" applyAlignment="1">
      <alignment/>
    </xf>
    <xf numFmtId="0" fontId="3" fillId="33" borderId="25" xfId="0" applyFont="1" applyFill="1" applyBorder="1" applyAlignment="1">
      <alignment/>
    </xf>
    <xf numFmtId="0" fontId="0" fillId="33" borderId="26" xfId="0" applyFill="1" applyBorder="1" applyAlignment="1">
      <alignment/>
    </xf>
    <xf numFmtId="0" fontId="92" fillId="33" borderId="26" xfId="0" applyFont="1" applyFill="1" applyBorder="1" applyAlignment="1" applyProtection="1">
      <alignment/>
      <protection locked="0"/>
    </xf>
    <xf numFmtId="0" fontId="0" fillId="33" borderId="27" xfId="0" applyFill="1" applyBorder="1" applyAlignment="1">
      <alignment/>
    </xf>
    <xf numFmtId="0" fontId="0" fillId="33" borderId="0" xfId="0" applyFill="1" applyBorder="1" applyAlignment="1">
      <alignment horizontal="right"/>
    </xf>
    <xf numFmtId="0" fontId="9" fillId="33" borderId="21" xfId="0" applyFont="1" applyFill="1" applyBorder="1" applyAlignment="1">
      <alignment/>
    </xf>
    <xf numFmtId="0" fontId="9" fillId="33" borderId="26" xfId="0" applyFont="1" applyFill="1" applyBorder="1" applyAlignment="1">
      <alignment/>
    </xf>
    <xf numFmtId="0" fontId="12" fillId="33" borderId="17" xfId="0" applyFont="1" applyFill="1" applyBorder="1" applyAlignment="1">
      <alignment/>
    </xf>
    <xf numFmtId="0" fontId="4" fillId="33" borderId="0" xfId="0" applyFont="1" applyFill="1" applyAlignment="1">
      <alignment/>
    </xf>
    <xf numFmtId="0" fontId="5" fillId="33" borderId="0" xfId="0" applyFont="1" applyFill="1" applyAlignment="1">
      <alignment/>
    </xf>
    <xf numFmtId="0" fontId="93" fillId="33" borderId="0" xfId="0" applyFont="1" applyFill="1" applyBorder="1" applyAlignment="1">
      <alignment/>
    </xf>
    <xf numFmtId="0" fontId="90" fillId="33" borderId="11" xfId="0" applyFont="1" applyFill="1" applyBorder="1" applyAlignment="1" applyProtection="1">
      <alignment/>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90" fillId="33" borderId="17" xfId="0" applyFont="1" applyFill="1" applyBorder="1" applyAlignment="1" applyProtection="1">
      <alignment/>
      <protection locked="0"/>
    </xf>
    <xf numFmtId="0" fontId="0" fillId="33" borderId="17" xfId="0" applyFill="1" applyBorder="1" applyAlignment="1" applyProtection="1">
      <alignment/>
      <protection locked="0"/>
    </xf>
    <xf numFmtId="2" fontId="9" fillId="33" borderId="0" xfId="0" applyNumberFormat="1" applyFont="1" applyFill="1" applyBorder="1" applyAlignment="1">
      <alignment/>
    </xf>
    <xf numFmtId="0" fontId="94" fillId="33" borderId="0" xfId="0" applyFont="1" applyFill="1" applyBorder="1" applyAlignment="1">
      <alignment/>
    </xf>
    <xf numFmtId="0" fontId="91" fillId="33" borderId="0" xfId="0" applyFont="1" applyFill="1" applyBorder="1" applyAlignment="1" applyProtection="1">
      <alignment/>
      <protection hidden="1"/>
    </xf>
    <xf numFmtId="204" fontId="0" fillId="33" borderId="0" xfId="0" applyNumberFormat="1" applyFill="1" applyAlignment="1">
      <alignment/>
    </xf>
    <xf numFmtId="196" fontId="0" fillId="0" borderId="0" xfId="0" applyNumberFormat="1" applyAlignment="1">
      <alignment/>
    </xf>
    <xf numFmtId="14" fontId="3" fillId="33" borderId="18" xfId="0" applyNumberFormat="1" applyFont="1" applyFill="1" applyBorder="1" applyAlignment="1">
      <alignment/>
    </xf>
    <xf numFmtId="14" fontId="0" fillId="33" borderId="0" xfId="0" applyNumberFormat="1" applyFill="1" applyAlignment="1">
      <alignment/>
    </xf>
    <xf numFmtId="0" fontId="3" fillId="33" borderId="21" xfId="0" applyFont="1" applyFill="1" applyBorder="1" applyAlignment="1">
      <alignment horizontal="right"/>
    </xf>
    <xf numFmtId="0" fontId="0" fillId="33" borderId="18" xfId="0" applyFont="1" applyFill="1" applyBorder="1" applyAlignment="1">
      <alignment horizontal="right"/>
    </xf>
    <xf numFmtId="0" fontId="0" fillId="33" borderId="17" xfId="0" applyFont="1" applyFill="1" applyBorder="1" applyAlignment="1">
      <alignment horizontal="left"/>
    </xf>
    <xf numFmtId="0" fontId="0" fillId="33" borderId="20" xfId="0" applyFont="1" applyFill="1" applyBorder="1" applyAlignment="1">
      <alignment/>
    </xf>
    <xf numFmtId="204" fontId="90" fillId="33" borderId="0" xfId="52" applyNumberFormat="1" applyFont="1" applyFill="1" applyBorder="1" applyAlignment="1" applyProtection="1">
      <alignment/>
      <protection locked="0"/>
    </xf>
    <xf numFmtId="0" fontId="90" fillId="33" borderId="16" xfId="0" applyFont="1" applyFill="1" applyBorder="1" applyAlignment="1" applyProtection="1">
      <alignment/>
      <protection locked="0"/>
    </xf>
    <xf numFmtId="0" fontId="14" fillId="0" borderId="0" xfId="0" applyFont="1" applyAlignment="1">
      <alignment vertical="center"/>
    </xf>
    <xf numFmtId="0" fontId="0" fillId="0" borderId="0" xfId="0" applyAlignment="1">
      <alignment horizontal="right" vertical="center"/>
    </xf>
    <xf numFmtId="0" fontId="15" fillId="0" borderId="28" xfId="0" applyFont="1" applyBorder="1" applyAlignment="1">
      <alignment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5" fillId="0" borderId="28" xfId="0" applyFont="1" applyBorder="1" applyAlignment="1">
      <alignment horizontal="right" vertical="center"/>
    </xf>
    <xf numFmtId="0" fontId="0" fillId="0" borderId="0" xfId="0" applyAlignment="1" applyProtection="1">
      <alignment/>
      <protection locked="0"/>
    </xf>
    <xf numFmtId="14" fontId="0" fillId="0" borderId="0" xfId="0" applyNumberFormat="1" applyAlignment="1" applyProtection="1">
      <alignment/>
      <protection locked="0"/>
    </xf>
    <xf numFmtId="196" fontId="0" fillId="0" borderId="0" xfId="0" applyNumberFormat="1" applyAlignment="1" applyProtection="1">
      <alignment/>
      <protection locked="0"/>
    </xf>
    <xf numFmtId="0" fontId="0" fillId="0" borderId="0" xfId="0" applyFont="1" applyAlignment="1" applyProtection="1">
      <alignment/>
      <protection locked="0"/>
    </xf>
    <xf numFmtId="0" fontId="95" fillId="0" borderId="31" xfId="0" applyFont="1" applyBorder="1" applyAlignment="1" applyProtection="1">
      <alignment horizontal="center" vertical="center"/>
      <protection locked="0"/>
    </xf>
    <xf numFmtId="14" fontId="95" fillId="0" borderId="31" xfId="0" applyNumberFormat="1" applyFont="1" applyBorder="1" applyAlignment="1" applyProtection="1">
      <alignment horizontal="center" vertical="center"/>
      <protection locked="0"/>
    </xf>
    <xf numFmtId="0" fontId="92" fillId="0" borderId="32" xfId="0" applyFont="1" applyBorder="1" applyAlignment="1">
      <alignment horizontal="left" vertical="center"/>
    </xf>
    <xf numFmtId="0" fontId="90" fillId="0" borderId="29" xfId="0" applyFont="1" applyBorder="1" applyAlignment="1">
      <alignment horizontal="center" vertical="center"/>
    </xf>
    <xf numFmtId="196" fontId="9" fillId="0" borderId="0" xfId="0" applyNumberFormat="1" applyFont="1" applyAlignment="1">
      <alignment/>
    </xf>
    <xf numFmtId="0" fontId="0" fillId="33" borderId="0" xfId="0" applyFont="1" applyFill="1" applyAlignment="1">
      <alignment/>
    </xf>
    <xf numFmtId="0" fontId="96" fillId="33" borderId="0" xfId="0" applyFont="1" applyFill="1" applyAlignment="1" applyProtection="1">
      <alignment/>
      <protection hidden="1"/>
    </xf>
    <xf numFmtId="0" fontId="97" fillId="0" borderId="0" xfId="0" applyFont="1" applyAlignment="1">
      <alignment horizontal="center" vertical="center"/>
    </xf>
    <xf numFmtId="0" fontId="0" fillId="33" borderId="0" xfId="0" applyFont="1" applyFill="1" applyBorder="1" applyAlignment="1">
      <alignment/>
    </xf>
    <xf numFmtId="0" fontId="98" fillId="33" borderId="17" xfId="0" applyFont="1" applyFill="1" applyBorder="1" applyAlignment="1">
      <alignment/>
    </xf>
    <xf numFmtId="0" fontId="91" fillId="33" borderId="19" xfId="0" applyFont="1" applyFill="1" applyBorder="1" applyAlignment="1" applyProtection="1">
      <alignment/>
      <protection hidden="1" locked="0"/>
    </xf>
    <xf numFmtId="14" fontId="91" fillId="33" borderId="0" xfId="0" applyNumberFormat="1" applyFont="1" applyFill="1" applyAlignment="1">
      <alignment/>
    </xf>
    <xf numFmtId="14" fontId="0" fillId="0" borderId="0" xfId="0" applyNumberFormat="1" applyFont="1" applyAlignment="1" applyProtection="1">
      <alignment/>
      <protection locked="0"/>
    </xf>
    <xf numFmtId="204" fontId="0" fillId="33" borderId="0" xfId="0" applyNumberFormat="1" applyFill="1" applyBorder="1" applyAlignment="1">
      <alignment horizontal="center"/>
    </xf>
    <xf numFmtId="0" fontId="99" fillId="33" borderId="0" xfId="0" applyFont="1" applyFill="1" applyAlignment="1">
      <alignment horizontal="center"/>
    </xf>
    <xf numFmtId="0" fontId="99" fillId="33" borderId="0" xfId="0" applyFont="1" applyFill="1" applyBorder="1" applyAlignment="1">
      <alignment horizontal="center"/>
    </xf>
    <xf numFmtId="0" fontId="12" fillId="33" borderId="0" xfId="0" applyFont="1" applyFill="1" applyBorder="1" applyAlignment="1">
      <alignment/>
    </xf>
    <xf numFmtId="0" fontId="98" fillId="33" borderId="0" xfId="0" applyFont="1" applyFill="1" applyBorder="1" applyAlignment="1">
      <alignment/>
    </xf>
    <xf numFmtId="0" fontId="9" fillId="33" borderId="33" xfId="0" applyFont="1"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12" fillId="33" borderId="37" xfId="0" applyFont="1" applyFill="1" applyBorder="1" applyAlignment="1">
      <alignment/>
    </xf>
    <xf numFmtId="0" fontId="0" fillId="33" borderId="38" xfId="0" applyFill="1" applyBorder="1" applyAlignment="1">
      <alignment/>
    </xf>
    <xf numFmtId="0" fontId="12" fillId="33" borderId="35" xfId="0" applyFont="1" applyFill="1" applyBorder="1" applyAlignment="1">
      <alignment/>
    </xf>
    <xf numFmtId="0" fontId="90" fillId="33" borderId="0" xfId="0" applyFont="1" applyFill="1" applyBorder="1" applyAlignment="1" applyProtection="1">
      <alignment/>
      <protection locked="0"/>
    </xf>
    <xf numFmtId="0" fontId="0" fillId="33" borderId="0" xfId="0" applyFont="1" applyFill="1" applyBorder="1" applyAlignment="1">
      <alignment horizontal="left"/>
    </xf>
    <xf numFmtId="0" fontId="90" fillId="33" borderId="28" xfId="0" applyFont="1" applyFill="1" applyBorder="1" applyAlignment="1" applyProtection="1">
      <alignment/>
      <protection locked="0"/>
    </xf>
    <xf numFmtId="0" fontId="90" fillId="33" borderId="39" xfId="0" applyFont="1" applyFill="1" applyBorder="1" applyAlignment="1" applyProtection="1">
      <alignment/>
      <protection locked="0"/>
    </xf>
    <xf numFmtId="0" fontId="90" fillId="33" borderId="31" xfId="0" applyFont="1" applyFill="1" applyBorder="1" applyAlignment="1" applyProtection="1">
      <alignment/>
      <protection locked="0"/>
    </xf>
    <xf numFmtId="0" fontId="90" fillId="33" borderId="18" xfId="0" applyFont="1" applyFill="1" applyBorder="1" applyAlignment="1" applyProtection="1">
      <alignment/>
      <protection locked="0"/>
    </xf>
    <xf numFmtId="0" fontId="90" fillId="33" borderId="19" xfId="0" applyFont="1" applyFill="1" applyBorder="1" applyAlignment="1" applyProtection="1">
      <alignment/>
      <protection locked="0"/>
    </xf>
    <xf numFmtId="0" fontId="90" fillId="33" borderId="20" xfId="0" applyFont="1" applyFill="1" applyBorder="1" applyAlignment="1" applyProtection="1">
      <alignment/>
      <protection locked="0"/>
    </xf>
    <xf numFmtId="0" fontId="99" fillId="33" borderId="0" xfId="0" applyFont="1" applyFill="1" applyAlignment="1">
      <alignment horizontal="center"/>
    </xf>
    <xf numFmtId="0" fontId="99" fillId="33" borderId="0" xfId="0" applyFont="1" applyFill="1" applyBorder="1" applyAlignment="1">
      <alignment horizontal="center"/>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92" fillId="33" borderId="0" xfId="50" applyNumberFormat="1" applyFont="1" applyFill="1" applyBorder="1" applyAlignment="1" applyProtection="1">
      <alignment/>
      <protection locked="0"/>
    </xf>
    <xf numFmtId="0" fontId="92" fillId="33" borderId="19" xfId="50" applyNumberFormat="1" applyFont="1" applyFill="1" applyBorder="1" applyAlignment="1" applyProtection="1">
      <alignment horizontal="center"/>
      <protection locked="0"/>
    </xf>
    <xf numFmtId="0" fontId="0" fillId="33" borderId="16" xfId="0" applyFont="1" applyFill="1" applyBorder="1" applyAlignment="1">
      <alignment/>
    </xf>
    <xf numFmtId="14" fontId="92" fillId="33" borderId="20" xfId="52" applyNumberFormat="1" applyFont="1" applyFill="1" applyBorder="1" applyAlignment="1" applyProtection="1">
      <alignment/>
      <protection locked="0"/>
    </xf>
    <xf numFmtId="0" fontId="100" fillId="33" borderId="0" xfId="0" applyFont="1" applyFill="1" applyAlignment="1">
      <alignment/>
    </xf>
    <xf numFmtId="0" fontId="100" fillId="33" borderId="0" xfId="0" applyFont="1" applyFill="1" applyBorder="1" applyAlignment="1">
      <alignment/>
    </xf>
    <xf numFmtId="0" fontId="101" fillId="33" borderId="0" xfId="0" applyFont="1" applyFill="1" applyAlignment="1">
      <alignment/>
    </xf>
    <xf numFmtId="0" fontId="6" fillId="33" borderId="0" xfId="47" applyFill="1" applyAlignment="1" applyProtection="1">
      <alignment/>
      <protection/>
    </xf>
    <xf numFmtId="0" fontId="99" fillId="33" borderId="0" xfId="0" applyFont="1" applyFill="1" applyAlignment="1">
      <alignment/>
    </xf>
    <xf numFmtId="0" fontId="99" fillId="33" borderId="0" xfId="0" applyFont="1" applyFill="1" applyBorder="1" applyAlignment="1">
      <alignment/>
    </xf>
    <xf numFmtId="0" fontId="101" fillId="33" borderId="0" xfId="0" applyFont="1" applyFill="1" applyBorder="1" applyAlignment="1">
      <alignment/>
    </xf>
    <xf numFmtId="14" fontId="92" fillId="33" borderId="0" xfId="52" applyNumberFormat="1" applyFont="1" applyFill="1" applyBorder="1" applyAlignment="1" applyProtection="1">
      <alignment/>
      <protection locked="0"/>
    </xf>
    <xf numFmtId="0" fontId="21" fillId="33" borderId="0" xfId="47" applyFont="1" applyFill="1" applyBorder="1" applyAlignment="1" applyProtection="1">
      <alignment horizontal="center"/>
      <protection/>
    </xf>
    <xf numFmtId="0" fontId="90" fillId="33" borderId="0" xfId="0" applyFont="1" applyFill="1" applyBorder="1" applyAlignment="1" applyProtection="1">
      <alignment horizontal="right"/>
      <protection locked="0"/>
    </xf>
    <xf numFmtId="0" fontId="102" fillId="33" borderId="0" xfId="0" applyFont="1" applyFill="1" applyAlignment="1">
      <alignment vertical="center"/>
    </xf>
    <xf numFmtId="0" fontId="103" fillId="33" borderId="0" xfId="47" applyFont="1" applyFill="1" applyAlignment="1" applyProtection="1">
      <alignment vertical="center"/>
      <protection/>
    </xf>
    <xf numFmtId="0" fontId="104" fillId="33" borderId="0" xfId="0" applyFont="1" applyFill="1" applyAlignment="1">
      <alignment vertical="center"/>
    </xf>
    <xf numFmtId="0" fontId="104" fillId="33" borderId="0" xfId="0" applyFont="1" applyFill="1" applyBorder="1" applyAlignment="1">
      <alignment vertical="center"/>
    </xf>
    <xf numFmtId="0" fontId="0" fillId="33" borderId="0" xfId="0" applyFill="1" applyBorder="1" applyAlignment="1" applyProtection="1">
      <alignment/>
      <protection locked="0"/>
    </xf>
    <xf numFmtId="0" fontId="91" fillId="33" borderId="19" xfId="0" applyFont="1" applyFill="1" applyBorder="1" applyAlignment="1" applyProtection="1">
      <alignment/>
      <protection locked="0"/>
    </xf>
    <xf numFmtId="0" fontId="0" fillId="33" borderId="19" xfId="0" applyFill="1" applyBorder="1" applyAlignment="1" applyProtection="1">
      <alignment/>
      <protection locked="0"/>
    </xf>
    <xf numFmtId="0" fontId="0" fillId="33" borderId="0" xfId="0" applyFill="1" applyBorder="1" applyAlignment="1" applyProtection="1">
      <alignment horizontal="left"/>
      <protection/>
    </xf>
    <xf numFmtId="0" fontId="0" fillId="33" borderId="17" xfId="0" applyFont="1" applyFill="1" applyBorder="1" applyAlignment="1" applyProtection="1">
      <alignment horizontal="left"/>
      <protection/>
    </xf>
    <xf numFmtId="0" fontId="0" fillId="33" borderId="20" xfId="0" applyFont="1" applyFill="1" applyBorder="1" applyAlignment="1" applyProtection="1">
      <alignment/>
      <protection/>
    </xf>
    <xf numFmtId="0" fontId="91" fillId="33" borderId="18" xfId="0" applyFont="1" applyFill="1" applyBorder="1" applyAlignment="1" applyProtection="1">
      <alignment/>
      <protection hidden="1" locked="0"/>
    </xf>
    <xf numFmtId="2" fontId="0" fillId="33" borderId="0" xfId="0" applyNumberFormat="1" applyFill="1" applyBorder="1" applyAlignment="1">
      <alignment/>
    </xf>
    <xf numFmtId="204" fontId="0" fillId="33" borderId="0" xfId="0" applyNumberFormat="1" applyFill="1" applyBorder="1" applyAlignment="1">
      <alignment horizontal="center"/>
    </xf>
    <xf numFmtId="0" fontId="0" fillId="33" borderId="19" xfId="0" applyFont="1" applyFill="1" applyBorder="1" applyAlignment="1">
      <alignment/>
    </xf>
    <xf numFmtId="0" fontId="3" fillId="33" borderId="40" xfId="0" applyFont="1" applyFill="1" applyBorder="1" applyAlignment="1">
      <alignment/>
    </xf>
    <xf numFmtId="0" fontId="0" fillId="33" borderId="40" xfId="0" applyFill="1" applyBorder="1" applyAlignment="1">
      <alignment/>
    </xf>
    <xf numFmtId="1" fontId="0" fillId="33" borderId="0" xfId="50" applyNumberFormat="1" applyFont="1" applyFill="1" applyAlignment="1">
      <alignment/>
    </xf>
    <xf numFmtId="0" fontId="91" fillId="33" borderId="0" xfId="0" applyFont="1" applyFill="1" applyBorder="1" applyAlignment="1">
      <alignment/>
    </xf>
    <xf numFmtId="1" fontId="91" fillId="33" borderId="0" xfId="0" applyNumberFormat="1" applyFont="1" applyFill="1" applyBorder="1" applyAlignment="1">
      <alignment/>
    </xf>
    <xf numFmtId="0" fontId="94" fillId="33" borderId="0" xfId="0" applyFont="1" applyFill="1" applyBorder="1" applyAlignment="1">
      <alignment horizontal="center"/>
    </xf>
    <xf numFmtId="204" fontId="3" fillId="33" borderId="0" xfId="52" applyNumberFormat="1" applyFont="1" applyFill="1" applyBorder="1" applyAlignment="1">
      <alignment horizontal="center"/>
    </xf>
    <xf numFmtId="0" fontId="0" fillId="33" borderId="35" xfId="0" applyFont="1" applyFill="1" applyBorder="1" applyAlignment="1">
      <alignment/>
    </xf>
    <xf numFmtId="204" fontId="3" fillId="33" borderId="36" xfId="52" applyNumberFormat="1" applyFont="1" applyFill="1" applyBorder="1" applyAlignment="1">
      <alignment horizontal="center"/>
    </xf>
    <xf numFmtId="0" fontId="0" fillId="33" borderId="35" xfId="0" applyFont="1" applyFill="1" applyBorder="1" applyAlignment="1">
      <alignment horizontal="right"/>
    </xf>
    <xf numFmtId="0" fontId="0" fillId="33" borderId="36" xfId="0" applyFont="1" applyFill="1" applyBorder="1" applyAlignment="1">
      <alignment/>
    </xf>
    <xf numFmtId="0" fontId="12" fillId="33" borderId="41" xfId="0" applyFont="1" applyFill="1" applyBorder="1" applyAlignment="1">
      <alignment/>
    </xf>
    <xf numFmtId="0" fontId="0" fillId="33" borderId="42" xfId="0" applyFill="1" applyBorder="1" applyAlignment="1">
      <alignment/>
    </xf>
    <xf numFmtId="0" fontId="98" fillId="33" borderId="42" xfId="0" applyFont="1" applyFill="1" applyBorder="1" applyAlignment="1">
      <alignment/>
    </xf>
    <xf numFmtId="0" fontId="0" fillId="33" borderId="17" xfId="0" applyFont="1" applyFill="1" applyBorder="1" applyAlignment="1">
      <alignment horizontal="right"/>
    </xf>
    <xf numFmtId="0" fontId="12" fillId="33" borderId="0" xfId="0" applyFont="1" applyFill="1" applyBorder="1" applyAlignment="1">
      <alignment/>
    </xf>
    <xf numFmtId="2" fontId="94" fillId="33" borderId="0" xfId="0" applyNumberFormat="1" applyFont="1" applyFill="1" applyBorder="1" applyAlignment="1">
      <alignment horizontal="center"/>
    </xf>
    <xf numFmtId="0" fontId="95" fillId="0" borderId="0" xfId="0" applyFont="1" applyBorder="1" applyAlignment="1" applyProtection="1">
      <alignment horizontal="center" vertical="center"/>
      <protection locked="0"/>
    </xf>
    <xf numFmtId="1" fontId="0" fillId="33" borderId="0" xfId="0" applyNumberFormat="1" applyFill="1" applyBorder="1" applyAlignment="1">
      <alignment/>
    </xf>
    <xf numFmtId="171" fontId="24" fillId="34" borderId="0" xfId="0" applyNumberFormat="1" applyFont="1" applyFill="1" applyBorder="1" applyAlignment="1">
      <alignment/>
    </xf>
    <xf numFmtId="0" fontId="24" fillId="0" borderId="0" xfId="0" applyFont="1" applyBorder="1" applyAlignment="1">
      <alignment/>
    </xf>
    <xf numFmtId="0" fontId="0" fillId="33" borderId="18" xfId="0" applyFill="1" applyBorder="1" applyAlignment="1">
      <alignment horizontal="right"/>
    </xf>
    <xf numFmtId="0" fontId="9" fillId="0" borderId="0" xfId="0" applyFont="1" applyBorder="1" applyAlignment="1">
      <alignment/>
    </xf>
    <xf numFmtId="0" fontId="25" fillId="33" borderId="0" xfId="0" applyFont="1" applyFill="1" applyBorder="1" applyAlignment="1">
      <alignment/>
    </xf>
    <xf numFmtId="0" fontId="0" fillId="33" borderId="0" xfId="0" applyFont="1" applyFill="1" applyBorder="1" applyAlignment="1">
      <alignment/>
    </xf>
    <xf numFmtId="0" fontId="9" fillId="33" borderId="43" xfId="0" applyFont="1" applyFill="1" applyBorder="1" applyAlignment="1">
      <alignment/>
    </xf>
    <xf numFmtId="0" fontId="9" fillId="33" borderId="44" xfId="0" applyFont="1" applyFill="1" applyBorder="1" applyAlignment="1">
      <alignment/>
    </xf>
    <xf numFmtId="0" fontId="0" fillId="33" borderId="44" xfId="0" applyFill="1" applyBorder="1" applyAlignment="1">
      <alignment/>
    </xf>
    <xf numFmtId="0" fontId="0" fillId="33" borderId="45" xfId="0" applyFill="1" applyBorder="1" applyAlignment="1">
      <alignment/>
    </xf>
    <xf numFmtId="0" fontId="105" fillId="33" borderId="0" xfId="0" applyFont="1" applyFill="1" applyBorder="1" applyAlignment="1" applyProtection="1">
      <alignment/>
      <protection locked="0"/>
    </xf>
    <xf numFmtId="0" fontId="9" fillId="33" borderId="0" xfId="0" applyFont="1" applyFill="1" applyBorder="1" applyAlignment="1">
      <alignment horizontal="right"/>
    </xf>
    <xf numFmtId="204" fontId="11" fillId="33" borderId="0" xfId="0" applyNumberFormat="1" applyFont="1" applyFill="1" applyBorder="1" applyAlignment="1">
      <alignment horizontal="center"/>
    </xf>
    <xf numFmtId="204" fontId="11" fillId="33" borderId="19" xfId="0" applyNumberFormat="1" applyFont="1" applyFill="1" applyBorder="1" applyAlignment="1">
      <alignment horizontal="center"/>
    </xf>
    <xf numFmtId="0" fontId="12" fillId="33" borderId="18" xfId="0" applyFont="1" applyFill="1" applyBorder="1" applyAlignment="1">
      <alignment horizontal="right"/>
    </xf>
    <xf numFmtId="0" fontId="12" fillId="33" borderId="0" xfId="0" applyFont="1" applyFill="1" applyBorder="1" applyAlignment="1">
      <alignment horizontal="right"/>
    </xf>
    <xf numFmtId="0" fontId="106" fillId="33" borderId="0" xfId="0" applyFont="1" applyFill="1" applyBorder="1" applyAlignment="1">
      <alignment/>
    </xf>
    <xf numFmtId="211" fontId="107" fillId="0" borderId="46" xfId="0" applyNumberFormat="1" applyFont="1" applyBorder="1" applyAlignment="1" applyProtection="1">
      <alignment horizontal="right" vertical="center" wrapText="1"/>
      <protection locked="0"/>
    </xf>
    <xf numFmtId="0" fontId="0" fillId="33" borderId="0" xfId="0" applyFill="1" applyBorder="1" applyAlignment="1" applyProtection="1">
      <alignment horizontal="left" vertical="center"/>
      <protection hidden="1"/>
    </xf>
    <xf numFmtId="2" fontId="0" fillId="0" borderId="0" xfId="0" applyNumberFormat="1" applyAlignment="1">
      <alignment/>
    </xf>
    <xf numFmtId="196" fontId="9" fillId="33" borderId="0" xfId="0" applyNumberFormat="1" applyFont="1" applyFill="1" applyBorder="1" applyAlignment="1">
      <alignment/>
    </xf>
    <xf numFmtId="0" fontId="92" fillId="33" borderId="0" xfId="0" applyFont="1" applyFill="1" applyBorder="1" applyAlignment="1" applyProtection="1">
      <alignment/>
      <protection locked="0"/>
    </xf>
    <xf numFmtId="204" fontId="9" fillId="33" borderId="0" xfId="52" applyNumberFormat="1" applyFont="1" applyFill="1" applyBorder="1" applyAlignment="1" applyProtection="1">
      <alignment/>
      <protection/>
    </xf>
    <xf numFmtId="0" fontId="0" fillId="33" borderId="0" xfId="0" applyFill="1" applyAlignment="1">
      <alignment horizontal="right" vertical="center"/>
    </xf>
    <xf numFmtId="0" fontId="0" fillId="33" borderId="0" xfId="0" applyFill="1" applyAlignment="1" applyProtection="1">
      <alignment horizontal="right"/>
      <protection/>
    </xf>
    <xf numFmtId="0" fontId="0" fillId="33" borderId="0" xfId="0" applyFont="1" applyFill="1" applyAlignment="1" applyProtection="1">
      <alignment horizontal="right" vertical="center"/>
      <protection/>
    </xf>
    <xf numFmtId="0" fontId="0" fillId="33" borderId="0" xfId="0" applyFill="1" applyAlignment="1" applyProtection="1">
      <alignment/>
      <protection/>
    </xf>
    <xf numFmtId="0" fontId="12" fillId="33" borderId="18" xfId="0" applyFont="1" applyFill="1" applyBorder="1" applyAlignment="1">
      <alignment horizontal="right"/>
    </xf>
    <xf numFmtId="0" fontId="12" fillId="33" borderId="0" xfId="0" applyFont="1" applyFill="1" applyBorder="1" applyAlignment="1">
      <alignment horizontal="right"/>
    </xf>
    <xf numFmtId="204" fontId="108" fillId="33" borderId="0" xfId="0" applyNumberFormat="1" applyFont="1" applyFill="1" applyBorder="1" applyAlignment="1">
      <alignment horizontal="center"/>
    </xf>
    <xf numFmtId="204" fontId="108" fillId="33" borderId="19" xfId="0" applyNumberFormat="1" applyFont="1" applyFill="1" applyBorder="1" applyAlignment="1">
      <alignment horizontal="center"/>
    </xf>
    <xf numFmtId="0" fontId="105" fillId="33" borderId="17" xfId="0" applyFont="1" applyFill="1" applyBorder="1" applyAlignment="1">
      <alignment/>
    </xf>
    <xf numFmtId="204" fontId="0" fillId="33" borderId="0" xfId="52" applyNumberFormat="1" applyFont="1" applyFill="1" applyAlignment="1">
      <alignment/>
    </xf>
    <xf numFmtId="204" fontId="0" fillId="33" borderId="0" xfId="52" applyNumberFormat="1" applyFont="1" applyFill="1" applyAlignment="1" applyProtection="1">
      <alignment/>
      <protection/>
    </xf>
    <xf numFmtId="204" fontId="0" fillId="33" borderId="0" xfId="52" applyNumberFormat="1" applyFont="1" applyFill="1" applyAlignment="1" applyProtection="1">
      <alignment/>
      <protection/>
    </xf>
    <xf numFmtId="0" fontId="21" fillId="33" borderId="0" xfId="47" applyFont="1" applyFill="1" applyAlignment="1" applyProtection="1">
      <alignment horizontal="center"/>
      <protection/>
    </xf>
    <xf numFmtId="204" fontId="13" fillId="33" borderId="17" xfId="52" applyNumberFormat="1" applyFont="1" applyFill="1" applyBorder="1" applyAlignment="1">
      <alignment horizontal="center"/>
    </xf>
    <xf numFmtId="204" fontId="13" fillId="33" borderId="20" xfId="52" applyNumberFormat="1" applyFont="1" applyFill="1" applyBorder="1" applyAlignment="1">
      <alignment horizontal="center"/>
    </xf>
    <xf numFmtId="0" fontId="109" fillId="33" borderId="47" xfId="0" applyFont="1" applyFill="1" applyBorder="1" applyAlignment="1">
      <alignment horizontal="center"/>
    </xf>
    <xf numFmtId="0" fontId="109" fillId="33" borderId="48" xfId="0" applyFont="1" applyFill="1" applyBorder="1" applyAlignment="1">
      <alignment horizontal="center"/>
    </xf>
    <xf numFmtId="0" fontId="109" fillId="33" borderId="49" xfId="0" applyFont="1" applyFill="1" applyBorder="1" applyAlignment="1">
      <alignment horizontal="center"/>
    </xf>
    <xf numFmtId="204" fontId="0" fillId="33" borderId="17" xfId="52" applyNumberFormat="1" applyFont="1" applyFill="1" applyBorder="1" applyAlignment="1" applyProtection="1">
      <alignment horizontal="center"/>
      <protection hidden="1"/>
    </xf>
    <xf numFmtId="0" fontId="12" fillId="33" borderId="18" xfId="0" applyFont="1" applyFill="1" applyBorder="1" applyAlignment="1">
      <alignment horizontal="right"/>
    </xf>
    <xf numFmtId="0" fontId="12" fillId="33" borderId="0" xfId="0" applyFont="1" applyFill="1" applyBorder="1" applyAlignment="1">
      <alignment horizontal="right"/>
    </xf>
    <xf numFmtId="204" fontId="11" fillId="33" borderId="0" xfId="0" applyNumberFormat="1" applyFont="1" applyFill="1" applyBorder="1" applyAlignment="1">
      <alignment horizontal="center"/>
    </xf>
    <xf numFmtId="204" fontId="11" fillId="33" borderId="19" xfId="0" applyNumberFormat="1" applyFont="1" applyFill="1" applyBorder="1" applyAlignment="1">
      <alignment horizontal="center"/>
    </xf>
    <xf numFmtId="204" fontId="108" fillId="33" borderId="0" xfId="0" applyNumberFormat="1" applyFont="1" applyFill="1" applyBorder="1" applyAlignment="1">
      <alignment horizontal="center"/>
    </xf>
    <xf numFmtId="204" fontId="108" fillId="33" borderId="19" xfId="0" applyNumberFormat="1" applyFont="1" applyFill="1" applyBorder="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204" fontId="0" fillId="33" borderId="17" xfId="0" applyNumberFormat="1" applyFill="1" applyBorder="1" applyAlignment="1">
      <alignment horizontal="center"/>
    </xf>
    <xf numFmtId="204" fontId="0" fillId="33" borderId="20" xfId="0" applyNumberFormat="1" applyFill="1" applyBorder="1" applyAlignment="1">
      <alignment horizontal="center"/>
    </xf>
    <xf numFmtId="0" fontId="110" fillId="33" borderId="0" xfId="0" applyFont="1" applyFill="1" applyAlignment="1">
      <alignment horizontal="center" vertical="center"/>
    </xf>
    <xf numFmtId="0" fontId="110" fillId="33" borderId="17" xfId="0" applyFont="1" applyFill="1" applyBorder="1" applyAlignment="1">
      <alignment horizontal="center" vertical="center"/>
    </xf>
    <xf numFmtId="14" fontId="3" fillId="33" borderId="26" xfId="0" applyNumberFormat="1" applyFont="1" applyFill="1" applyBorder="1" applyAlignment="1">
      <alignment horizontal="left"/>
    </xf>
    <xf numFmtId="14" fontId="3" fillId="33" borderId="27" xfId="0" applyNumberFormat="1" applyFont="1" applyFill="1" applyBorder="1" applyAlignment="1">
      <alignment horizontal="left"/>
    </xf>
    <xf numFmtId="0" fontId="3" fillId="33" borderId="21" xfId="0" applyFont="1" applyFill="1" applyBorder="1" applyAlignment="1">
      <alignment horizontal="center"/>
    </xf>
    <xf numFmtId="0" fontId="3" fillId="33" borderId="26" xfId="0" applyFont="1" applyFill="1" applyBorder="1" applyAlignment="1">
      <alignment horizontal="center"/>
    </xf>
    <xf numFmtId="0" fontId="101" fillId="33" borderId="0" xfId="0" applyFont="1" applyFill="1" applyAlignment="1">
      <alignment horizontal="center"/>
    </xf>
    <xf numFmtId="0" fontId="101" fillId="33" borderId="0" xfId="0" applyFont="1" applyFill="1" applyBorder="1" applyAlignment="1">
      <alignment horizontal="center"/>
    </xf>
    <xf numFmtId="0" fontId="111" fillId="33" borderId="0" xfId="0" applyFont="1" applyFill="1" applyAlignment="1">
      <alignment horizontal="center"/>
    </xf>
    <xf numFmtId="0" fontId="112" fillId="33" borderId="0" xfId="0" applyFont="1" applyFill="1" applyAlignment="1">
      <alignment horizontal="center"/>
    </xf>
    <xf numFmtId="0" fontId="112" fillId="33" borderId="0" xfId="0" applyFont="1" applyFill="1" applyBorder="1" applyAlignment="1">
      <alignment horizontal="center"/>
    </xf>
    <xf numFmtId="0" fontId="6" fillId="33" borderId="0" xfId="47" applyFill="1" applyAlignment="1" applyProtection="1">
      <alignment horizontal="center"/>
      <protection/>
    </xf>
    <xf numFmtId="0" fontId="99" fillId="33" borderId="0" xfId="0" applyFont="1" applyFill="1" applyAlignment="1">
      <alignment horizontal="center"/>
    </xf>
    <xf numFmtId="0" fontId="99" fillId="33" borderId="0" xfId="0" applyFont="1" applyFill="1" applyBorder="1" applyAlignment="1">
      <alignment horizontal="center"/>
    </xf>
    <xf numFmtId="0" fontId="9" fillId="33" borderId="43" xfId="0" applyFont="1" applyFill="1" applyBorder="1" applyAlignment="1">
      <alignment horizontal="center"/>
    </xf>
    <xf numFmtId="0" fontId="9" fillId="33" borderId="44" xfId="0" applyFont="1" applyFill="1" applyBorder="1" applyAlignment="1">
      <alignment horizontal="center"/>
    </xf>
    <xf numFmtId="0" fontId="9" fillId="33" borderId="45" xfId="0" applyFont="1" applyFill="1" applyBorder="1" applyAlignment="1">
      <alignment horizontal="center"/>
    </xf>
    <xf numFmtId="204" fontId="25" fillId="33" borderId="0" xfId="0" applyNumberFormat="1" applyFont="1" applyFill="1" applyBorder="1" applyAlignment="1">
      <alignment horizontal="center"/>
    </xf>
    <xf numFmtId="204" fontId="25" fillId="33" borderId="19" xfId="0" applyNumberFormat="1" applyFont="1" applyFill="1" applyBorder="1" applyAlignment="1">
      <alignment horizontal="center"/>
    </xf>
    <xf numFmtId="204" fontId="0" fillId="33" borderId="0" xfId="0" applyNumberFormat="1" applyFill="1" applyBorder="1" applyAlignment="1">
      <alignment horizontal="center"/>
    </xf>
    <xf numFmtId="204" fontId="0" fillId="33" borderId="36" xfId="0" applyNumberFormat="1" applyFill="1" applyBorder="1" applyAlignment="1">
      <alignment horizontal="center"/>
    </xf>
    <xf numFmtId="0" fontId="90" fillId="33" borderId="50" xfId="0" applyFont="1" applyFill="1" applyBorder="1" applyAlignment="1" applyProtection="1">
      <alignment horizontal="left"/>
      <protection locked="0"/>
    </xf>
    <xf numFmtId="204" fontId="0" fillId="33" borderId="19" xfId="0" applyNumberFormat="1" applyFill="1" applyBorder="1" applyAlignment="1">
      <alignment horizontal="center"/>
    </xf>
    <xf numFmtId="9" fontId="92" fillId="33" borderId="0" xfId="56" applyFont="1" applyFill="1" applyBorder="1" applyAlignment="1" applyProtection="1">
      <alignment horizontal="right"/>
      <protection locked="0"/>
    </xf>
    <xf numFmtId="204" fontId="9" fillId="33" borderId="26" xfId="0" applyNumberFormat="1" applyFont="1" applyFill="1" applyBorder="1" applyAlignment="1">
      <alignment horizontal="center"/>
    </xf>
    <xf numFmtId="204" fontId="9" fillId="33" borderId="51" xfId="0" applyNumberFormat="1" applyFont="1" applyFill="1" applyBorder="1" applyAlignment="1">
      <alignment horizontal="center"/>
    </xf>
    <xf numFmtId="0" fontId="113" fillId="33" borderId="0" xfId="0" applyFont="1" applyFill="1" applyAlignment="1">
      <alignment horizontal="center"/>
    </xf>
    <xf numFmtId="204" fontId="11" fillId="33" borderId="19" xfId="52" applyNumberFormat="1" applyFont="1" applyFill="1" applyBorder="1" applyAlignment="1">
      <alignment horizontal="center"/>
    </xf>
    <xf numFmtId="14" fontId="90" fillId="33" borderId="0" xfId="0" applyNumberFormat="1" applyFont="1" applyFill="1" applyBorder="1" applyAlignment="1" applyProtection="1">
      <alignment horizontal="center"/>
      <protection locked="0"/>
    </xf>
    <xf numFmtId="204" fontId="90" fillId="33" borderId="0" xfId="0" applyNumberFormat="1" applyFont="1" applyFill="1" applyBorder="1" applyAlignment="1" applyProtection="1">
      <alignment horizontal="center"/>
      <protection locked="0"/>
    </xf>
    <xf numFmtId="204" fontId="0" fillId="33" borderId="42" xfId="0" applyNumberFormat="1" applyFill="1" applyBorder="1" applyAlignment="1">
      <alignment horizontal="center"/>
    </xf>
    <xf numFmtId="204" fontId="0" fillId="33" borderId="52" xfId="0" applyNumberFormat="1" applyFill="1" applyBorder="1" applyAlignment="1">
      <alignment horizontal="center"/>
    </xf>
    <xf numFmtId="0" fontId="95" fillId="0" borderId="0" xfId="0" applyFont="1" applyAlignment="1">
      <alignment horizontal="center"/>
    </xf>
    <xf numFmtId="0" fontId="6" fillId="0" borderId="16" xfId="47" applyBorder="1" applyAlignment="1" applyProtection="1">
      <alignment horizontal="center" vertical="center"/>
      <protection/>
    </xf>
    <xf numFmtId="0" fontId="16" fillId="0" borderId="20" xfId="47" applyFont="1" applyBorder="1" applyAlignment="1" applyProtection="1">
      <alignment horizontal="center" vertical="center"/>
      <protection/>
    </xf>
    <xf numFmtId="0" fontId="95" fillId="33" borderId="0" xfId="0" applyFont="1" applyFill="1" applyAlignment="1">
      <alignment horizontal="center"/>
    </xf>
    <xf numFmtId="0" fontId="95" fillId="33" borderId="0" xfId="0" applyFont="1" applyFill="1" applyBorder="1" applyAlignment="1">
      <alignment horizontal="center"/>
    </xf>
    <xf numFmtId="0" fontId="90" fillId="33" borderId="0" xfId="0" applyFont="1" applyFill="1" applyAlignment="1">
      <alignment horizontal="center"/>
    </xf>
    <xf numFmtId="0" fontId="90" fillId="33" borderId="0" xfId="0" applyFont="1" applyFill="1" applyBorder="1" applyAlignment="1">
      <alignment horizontal="center"/>
    </xf>
    <xf numFmtId="0" fontId="114" fillId="33" borderId="0" xfId="0" applyFont="1" applyFill="1" applyAlignment="1">
      <alignment horizontal="center"/>
    </xf>
    <xf numFmtId="0" fontId="114" fillId="33" borderId="0" xfId="0" applyFont="1" applyFill="1" applyBorder="1" applyAlignment="1">
      <alignment horizontal="center"/>
    </xf>
    <xf numFmtId="204" fontId="9" fillId="33" borderId="0" xfId="0" applyNumberFormat="1" applyFont="1" applyFill="1" applyBorder="1" applyAlignment="1">
      <alignment horizontal="center"/>
    </xf>
    <xf numFmtId="0" fontId="9" fillId="33" borderId="47" xfId="0" applyFont="1" applyFill="1" applyBorder="1" applyAlignment="1">
      <alignment horizontal="center"/>
    </xf>
    <xf numFmtId="0" fontId="9" fillId="33" borderId="48" xfId="0" applyFont="1" applyFill="1" applyBorder="1" applyAlignment="1">
      <alignment horizontal="center"/>
    </xf>
    <xf numFmtId="0" fontId="9" fillId="33" borderId="49" xfId="0" applyFont="1" applyFill="1" applyBorder="1" applyAlignment="1">
      <alignment horizontal="center"/>
    </xf>
    <xf numFmtId="1" fontId="90" fillId="33" borderId="0" xfId="0" applyNumberFormat="1" applyFont="1" applyFill="1" applyBorder="1" applyAlignment="1" applyProtection="1">
      <alignment horizontal="center"/>
      <protection locked="0"/>
    </xf>
    <xf numFmtId="0" fontId="0" fillId="33" borderId="11" xfId="0" applyFill="1" applyBorder="1" applyAlignment="1" applyProtection="1">
      <alignment horizontal="left"/>
      <protection locked="0"/>
    </xf>
    <xf numFmtId="0" fontId="0" fillId="33" borderId="12" xfId="0" applyFill="1" applyBorder="1" applyAlignment="1" applyProtection="1">
      <alignment horizontal="left"/>
      <protection locked="0"/>
    </xf>
    <xf numFmtId="0" fontId="90" fillId="33" borderId="16" xfId="0" applyFont="1" applyFill="1" applyBorder="1" applyAlignment="1" applyProtection="1">
      <alignment horizontal="right"/>
      <protection/>
    </xf>
    <xf numFmtId="0" fontId="90" fillId="33" borderId="17" xfId="0" applyFont="1" applyFill="1" applyBorder="1" applyAlignment="1" applyProtection="1">
      <alignment horizontal="right"/>
      <protection/>
    </xf>
    <xf numFmtId="0" fontId="115" fillId="33" borderId="0" xfId="0" applyFont="1" applyFill="1" applyAlignment="1">
      <alignment horizontal="center"/>
    </xf>
    <xf numFmtId="0" fontId="115" fillId="33" borderId="19" xfId="0" applyFont="1" applyFill="1" applyBorder="1" applyAlignment="1">
      <alignment horizontal="center"/>
    </xf>
    <xf numFmtId="0" fontId="21" fillId="33" borderId="0" xfId="47" applyFont="1" applyFill="1" applyAlignment="1" applyProtection="1">
      <alignment horizontal="center"/>
      <protection/>
    </xf>
    <xf numFmtId="0" fontId="21" fillId="33" borderId="19" xfId="47" applyFont="1" applyFill="1" applyBorder="1" applyAlignment="1" applyProtection="1">
      <alignment horizontal="center"/>
      <protection/>
    </xf>
    <xf numFmtId="0" fontId="116" fillId="33" borderId="0" xfId="0" applyFont="1" applyFill="1" applyBorder="1" applyAlignment="1">
      <alignment horizontal="center" vertical="center"/>
    </xf>
    <xf numFmtId="0" fontId="117" fillId="33" borderId="0" xfId="0" applyFont="1" applyFill="1" applyBorder="1" applyAlignment="1">
      <alignment horizontal="center" vertical="center"/>
    </xf>
    <xf numFmtId="211" fontId="107" fillId="0" borderId="46" xfId="0" applyNumberFormat="1" applyFont="1" applyBorder="1" applyAlignment="1" applyProtection="1">
      <alignment horizontal="right" vertical="top" wrapText="1"/>
      <protection locked="0"/>
    </xf>
    <xf numFmtId="211" fontId="107" fillId="0" borderId="53" xfId="0" applyNumberFormat="1" applyFont="1" applyBorder="1" applyAlignment="1" applyProtection="1">
      <alignment horizontal="right" vertical="top" wrapText="1"/>
      <protection locked="0"/>
    </xf>
    <xf numFmtId="0" fontId="118" fillId="33" borderId="0" xfId="0" applyFont="1" applyFill="1" applyAlignment="1">
      <alignment horizontal="center"/>
    </xf>
    <xf numFmtId="0" fontId="118" fillId="33" borderId="19" xfId="0" applyFont="1" applyFill="1" applyBorder="1" applyAlignment="1">
      <alignment horizontal="center"/>
    </xf>
    <xf numFmtId="0" fontId="119" fillId="33" borderId="0" xfId="0" applyFont="1" applyFill="1" applyAlignment="1">
      <alignment horizontal="center"/>
    </xf>
    <xf numFmtId="0" fontId="119" fillId="33" borderId="19"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g.page/laboralistasmurcia/review?mt" TargetMode="External" /><Relationship Id="rId3" Type="http://schemas.openxmlformats.org/officeDocument/2006/relationships/hyperlink" Target="https://g.page/laboralistasmurcia/review?mt"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g.page/laboralistasmurcia/review?mt" TargetMode="External" /><Relationship Id="rId3" Type="http://schemas.openxmlformats.org/officeDocument/2006/relationships/hyperlink" Target="https://g.page/laboralistasmurcia/review?m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4</xdr:row>
      <xdr:rowOff>38100</xdr:rowOff>
    </xdr:from>
    <xdr:to>
      <xdr:col>6</xdr:col>
      <xdr:colOff>0</xdr:colOff>
      <xdr:row>8</xdr:row>
      <xdr:rowOff>123825</xdr:rowOff>
    </xdr:to>
    <xdr:pic>
      <xdr:nvPicPr>
        <xdr:cNvPr id="1" name="Imagen 4" descr="C:\Users\Herminio\Desktop\logo.png">
          <a:hlinkClick r:id="rId3"/>
        </xdr:cNvPr>
        <xdr:cNvPicPr preferRelativeResize="1">
          <a:picLocks noChangeAspect="1"/>
        </xdr:cNvPicPr>
      </xdr:nvPicPr>
      <xdr:blipFill>
        <a:blip r:embed="rId1"/>
        <a:stretch>
          <a:fillRect/>
        </a:stretch>
      </xdr:blipFill>
      <xdr:spPr>
        <a:xfrm>
          <a:off x="2800350" y="571500"/>
          <a:ext cx="8382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4</xdr:row>
      <xdr:rowOff>66675</xdr:rowOff>
    </xdr:from>
    <xdr:to>
      <xdr:col>7</xdr:col>
      <xdr:colOff>9525</xdr:colOff>
      <xdr:row>8</xdr:row>
      <xdr:rowOff>200025</xdr:rowOff>
    </xdr:to>
    <xdr:pic>
      <xdr:nvPicPr>
        <xdr:cNvPr id="1" name="Imagen 4" descr="C:\Users\Herminio\Desktop\logo.png">
          <a:hlinkClick r:id="rId3"/>
        </xdr:cNvPr>
        <xdr:cNvPicPr preferRelativeResize="1">
          <a:picLocks noChangeAspect="1"/>
        </xdr:cNvPicPr>
      </xdr:nvPicPr>
      <xdr:blipFill>
        <a:blip r:embed="rId1"/>
        <a:stretch>
          <a:fillRect/>
        </a:stretch>
      </xdr:blipFill>
      <xdr:spPr>
        <a:xfrm>
          <a:off x="3028950" y="600075"/>
          <a:ext cx="8286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rminioduarte.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erminio@herminioduarte.com"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erminioduarte.com/"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pageSetUpPr fitToPage="1"/>
  </sheetPr>
  <dimension ref="A1:T130"/>
  <sheetViews>
    <sheetView tabSelected="1" zoomScale="106" zoomScaleNormal="106" workbookViewId="0" topLeftCell="A25">
      <selection activeCell="E69" sqref="E69"/>
    </sheetView>
  </sheetViews>
  <sheetFormatPr defaultColWidth="11.421875" defaultRowHeight="12.75"/>
  <cols>
    <col min="1" max="1" width="3.421875" style="1" customWidth="1"/>
    <col min="2" max="2" width="18.140625" style="1" customWidth="1"/>
    <col min="3" max="3" width="14.00390625" style="1" bestFit="1" customWidth="1"/>
    <col min="4" max="4" width="2.00390625" style="1" customWidth="1"/>
    <col min="5" max="5" width="8.140625" style="1" customWidth="1"/>
    <col min="6" max="6" width="8.8515625" style="1" customWidth="1"/>
    <col min="7" max="7" width="8.57421875" style="1" customWidth="1"/>
    <col min="8" max="8" width="9.140625" style="1" customWidth="1"/>
    <col min="9" max="9" width="8.7109375" style="1" customWidth="1"/>
    <col min="10" max="10" width="2.00390625" style="1" customWidth="1"/>
    <col min="11" max="11" width="6.7109375" style="1" customWidth="1"/>
    <col min="12" max="12" width="14.7109375" style="1" bestFit="1" customWidth="1"/>
    <col min="13" max="13" width="2.7109375" style="1" customWidth="1"/>
    <col min="14" max="15" width="9.8515625" style="1" customWidth="1"/>
    <col min="16" max="16" width="3.57421875" style="1" customWidth="1"/>
    <col min="17" max="17" width="12.28125" style="1" customWidth="1"/>
    <col min="18" max="18" width="11.421875" style="1" customWidth="1"/>
    <col min="19" max="19" width="17.28125" style="1" customWidth="1"/>
    <col min="20" max="20" width="11.421875" style="1" customWidth="1"/>
    <col min="21" max="22" width="12.7109375" style="1" bestFit="1" customWidth="1"/>
    <col min="23" max="16384" width="11.421875" style="1" customWidth="1"/>
  </cols>
  <sheetData>
    <row r="1" spans="2:15" ht="7.5" customHeight="1">
      <c r="B1" s="220" t="s">
        <v>56</v>
      </c>
      <c r="C1" s="220"/>
      <c r="D1" s="220"/>
      <c r="E1" s="220"/>
      <c r="F1" s="220"/>
      <c r="G1" s="220"/>
      <c r="H1" s="220"/>
      <c r="I1" s="220"/>
      <c r="J1" s="220"/>
      <c r="K1" s="220"/>
      <c r="L1" s="220"/>
      <c r="M1" s="220"/>
      <c r="N1" s="220"/>
      <c r="O1" s="220"/>
    </row>
    <row r="2" spans="2:15" ht="7.5" customHeight="1" thickBot="1">
      <c r="B2" s="221"/>
      <c r="C2" s="221"/>
      <c r="D2" s="221"/>
      <c r="E2" s="221"/>
      <c r="F2" s="221"/>
      <c r="G2" s="221"/>
      <c r="H2" s="221"/>
      <c r="I2" s="221"/>
      <c r="J2" s="221"/>
      <c r="K2" s="221"/>
      <c r="L2" s="221"/>
      <c r="M2" s="221"/>
      <c r="N2" s="221"/>
      <c r="O2" s="221"/>
    </row>
    <row r="3" spans="2:17" ht="13.5" thickBot="1">
      <c r="B3" s="2" t="s">
        <v>11</v>
      </c>
      <c r="C3" s="118"/>
      <c r="D3" s="118"/>
      <c r="E3" s="118"/>
      <c r="F3" s="118"/>
      <c r="G3" s="118"/>
      <c r="H3" s="118"/>
      <c r="I3" s="118"/>
      <c r="J3" s="118"/>
      <c r="K3" s="118"/>
      <c r="L3" s="119"/>
      <c r="M3" s="5"/>
      <c r="N3" s="6" t="s">
        <v>35</v>
      </c>
      <c r="O3" s="7"/>
      <c r="Q3" s="94">
        <v>41640</v>
      </c>
    </row>
    <row r="4" spans="2:15" ht="13.5" thickBot="1">
      <c r="B4" s="8" t="s">
        <v>12</v>
      </c>
      <c r="C4" s="241"/>
      <c r="D4" s="241"/>
      <c r="E4" s="241"/>
      <c r="F4" s="241"/>
      <c r="G4" s="241"/>
      <c r="H4" s="241"/>
      <c r="I4" s="241"/>
      <c r="J4" s="241"/>
      <c r="K4" s="241"/>
      <c r="L4" s="241"/>
      <c r="M4" s="10"/>
      <c r="N4" s="10"/>
      <c r="O4" s="11"/>
    </row>
    <row r="5" ht="6.75" customHeight="1" thickBot="1"/>
    <row r="6" spans="2:17" ht="12.75">
      <c r="B6" s="2" t="s">
        <v>13</v>
      </c>
      <c r="C6" s="3"/>
      <c r="D6" s="4"/>
      <c r="G6" s="226" t="s">
        <v>63</v>
      </c>
      <c r="H6" s="226"/>
      <c r="I6" s="226"/>
      <c r="J6" s="226"/>
      <c r="K6" s="227"/>
      <c r="L6" s="215" t="s">
        <v>43</v>
      </c>
      <c r="M6" s="216"/>
      <c r="N6" s="216"/>
      <c r="O6" s="13">
        <v>2</v>
      </c>
      <c r="Q6" s="14" t="b">
        <v>0</v>
      </c>
    </row>
    <row r="7" spans="2:18" ht="20.25">
      <c r="B7" s="15" t="s">
        <v>14</v>
      </c>
      <c r="C7" s="16">
        <v>40422</v>
      </c>
      <c r="D7" s="17"/>
      <c r="E7" s="64"/>
      <c r="G7" s="228" t="s">
        <v>91</v>
      </c>
      <c r="H7" s="229"/>
      <c r="I7" s="229"/>
      <c r="J7" s="229"/>
      <c r="K7" s="230"/>
      <c r="L7" s="184">
        <v>1500</v>
      </c>
      <c r="M7" s="185" t="str">
        <f>IF(O6="","Seleccione periodicidad del salario ",IF(O6=3," / día",IF(O6=2," / mes",IF(O6=1," / año"))))</f>
        <v> / mes</v>
      </c>
      <c r="N7" s="18"/>
      <c r="O7" s="93">
        <v>2</v>
      </c>
      <c r="Q7" s="20">
        <v>2</v>
      </c>
      <c r="R7" s="89" t="s">
        <v>54</v>
      </c>
    </row>
    <row r="8" spans="2:18" ht="12.75">
      <c r="B8" s="15" t="s">
        <v>15</v>
      </c>
      <c r="C8" s="16">
        <v>44701</v>
      </c>
      <c r="D8" s="17"/>
      <c r="G8" s="246" t="s">
        <v>92</v>
      </c>
      <c r="H8" s="226"/>
      <c r="I8" s="226"/>
      <c r="J8" s="226"/>
      <c r="K8" s="226"/>
      <c r="L8" s="21"/>
      <c r="M8" s="22"/>
      <c r="N8" s="22"/>
      <c r="O8" s="23"/>
      <c r="Q8" s="20" t="s">
        <v>18</v>
      </c>
      <c r="R8" s="89" t="s">
        <v>55</v>
      </c>
    </row>
    <row r="9" spans="2:18" ht="13.5" thickBot="1">
      <c r="B9" s="24" t="s">
        <v>16</v>
      </c>
      <c r="C9" s="25">
        <f>C8</f>
        <v>44701</v>
      </c>
      <c r="D9" s="26"/>
      <c r="G9" s="231" t="s">
        <v>62</v>
      </c>
      <c r="H9" s="232"/>
      <c r="I9" s="232"/>
      <c r="J9" s="232"/>
      <c r="K9" s="233"/>
      <c r="L9" s="72">
        <v>30</v>
      </c>
      <c r="M9" s="69" t="str">
        <f>IF(O6="","Seleccione periodicidad del salario ",IF(O6=3,"",IF(O6=2," indique dias / mes",IF(O6=1,""))))</f>
        <v> indique dias / mes</v>
      </c>
      <c r="N9" s="9"/>
      <c r="O9" s="70"/>
      <c r="Q9" s="20" t="s">
        <v>19</v>
      </c>
      <c r="R9" s="20"/>
    </row>
    <row r="10" spans="2:18" ht="7.5" customHeight="1" thickBot="1">
      <c r="B10" s="18"/>
      <c r="C10" s="16"/>
      <c r="D10" s="18"/>
      <c r="G10" s="97"/>
      <c r="H10" s="97"/>
      <c r="I10" s="97"/>
      <c r="J10" s="97"/>
      <c r="K10" s="98"/>
      <c r="L10" s="108"/>
      <c r="M10" s="109"/>
      <c r="N10" s="151">
        <f>YEAR(C8)</f>
        <v>2022</v>
      </c>
      <c r="O10" s="152">
        <f>DATE((N10+1),1,1)-DATE(N10,1,1)</f>
        <v>365</v>
      </c>
      <c r="Q10" s="20"/>
      <c r="R10" s="20"/>
    </row>
    <row r="11" spans="2:18" ht="12.75">
      <c r="B11" s="110"/>
      <c r="C11" s="111"/>
      <c r="D11" s="111"/>
      <c r="E11" s="111"/>
      <c r="F11" s="111"/>
      <c r="G11" s="111"/>
      <c r="H11" s="111"/>
      <c r="I11" s="111"/>
      <c r="J11" s="111"/>
      <c r="K11" s="111"/>
      <c r="L11" s="111"/>
      <c r="M11" s="111"/>
      <c r="N11" s="111"/>
      <c r="O11" s="112"/>
      <c r="Q11" s="20"/>
      <c r="R11" s="20"/>
    </row>
    <row r="12" spans="2:18" ht="12.75">
      <c r="B12" s="113"/>
      <c r="C12" s="108"/>
      <c r="D12" s="108"/>
      <c r="E12" s="108"/>
      <c r="F12" s="108"/>
      <c r="G12" s="108"/>
      <c r="H12" s="108"/>
      <c r="I12" s="108"/>
      <c r="J12" s="108"/>
      <c r="K12" s="108"/>
      <c r="L12" s="108"/>
      <c r="M12" s="108"/>
      <c r="N12" s="108"/>
      <c r="O12" s="114"/>
      <c r="Q12" s="20"/>
      <c r="R12" s="20"/>
    </row>
    <row r="13" spans="2:18" ht="12.75">
      <c r="B13" s="113"/>
      <c r="C13" s="108"/>
      <c r="D13" s="108"/>
      <c r="E13" s="108"/>
      <c r="F13" s="108"/>
      <c r="G13" s="108"/>
      <c r="H13" s="108"/>
      <c r="I13" s="108"/>
      <c r="J13" s="108"/>
      <c r="K13" s="108"/>
      <c r="L13" s="108"/>
      <c r="M13" s="108"/>
      <c r="N13" s="108"/>
      <c r="O13" s="114"/>
      <c r="Q13" s="20"/>
      <c r="R13" s="20"/>
    </row>
    <row r="14" spans="2:18" ht="12.75">
      <c r="B14" s="113"/>
      <c r="C14" s="108"/>
      <c r="D14" s="108"/>
      <c r="E14" s="108"/>
      <c r="F14" s="108"/>
      <c r="G14" s="108"/>
      <c r="H14" s="108"/>
      <c r="I14" s="108"/>
      <c r="J14" s="108"/>
      <c r="K14" s="108"/>
      <c r="L14" s="108"/>
      <c r="M14" s="108"/>
      <c r="N14" s="108"/>
      <c r="O14" s="114"/>
      <c r="Q14" s="20"/>
      <c r="R14" s="20"/>
    </row>
    <row r="15" spans="2:18" ht="13.5" thickBot="1">
      <c r="B15" s="72"/>
      <c r="C15" s="58"/>
      <c r="D15" s="58"/>
      <c r="E15" s="58"/>
      <c r="F15" s="58"/>
      <c r="G15" s="58"/>
      <c r="H15" s="58"/>
      <c r="I15" s="58"/>
      <c r="J15" s="58"/>
      <c r="K15" s="58"/>
      <c r="L15" s="58"/>
      <c r="M15" s="58"/>
      <c r="N15" s="58"/>
      <c r="O15" s="115"/>
      <c r="Q15" s="20"/>
      <c r="R15" s="20"/>
    </row>
    <row r="16" ht="6.75" customHeight="1" thickBot="1"/>
    <row r="17" spans="2:15" ht="12.75">
      <c r="B17" s="215" t="s">
        <v>93</v>
      </c>
      <c r="C17" s="216"/>
      <c r="D17" s="216"/>
      <c r="E17" s="216"/>
      <c r="F17" s="216"/>
      <c r="G17" s="216"/>
      <c r="H17" s="216"/>
      <c r="I17" s="216"/>
      <c r="J17" s="216"/>
      <c r="K17" s="216"/>
      <c r="L17" s="216"/>
      <c r="M17" s="216"/>
      <c r="N17" s="216"/>
      <c r="O17" s="217"/>
    </row>
    <row r="18" spans="2:15" ht="5.25" customHeight="1">
      <c r="B18" s="27"/>
      <c r="C18" s="18"/>
      <c r="D18" s="18"/>
      <c r="E18" s="18"/>
      <c r="F18" s="18"/>
      <c r="G18" s="18"/>
      <c r="H18" s="18"/>
      <c r="I18" s="18"/>
      <c r="J18" s="18"/>
      <c r="K18" s="18"/>
      <c r="L18" s="18"/>
      <c r="M18" s="18"/>
      <c r="N18" s="18"/>
      <c r="O18" s="17"/>
    </row>
    <row r="19" spans="2:15" ht="12.75">
      <c r="B19" s="65"/>
      <c r="C19" s="67" t="s">
        <v>41</v>
      </c>
      <c r="D19" s="222">
        <v>40950</v>
      </c>
      <c r="E19" s="222"/>
      <c r="F19" s="223"/>
      <c r="G19" s="29"/>
      <c r="H19" s="18"/>
      <c r="I19" s="224" t="s">
        <v>42</v>
      </c>
      <c r="J19" s="225"/>
      <c r="K19" s="222">
        <v>40951</v>
      </c>
      <c r="L19" s="223"/>
      <c r="M19" s="29"/>
      <c r="N19" s="30" t="s">
        <v>3</v>
      </c>
      <c r="O19" s="17"/>
    </row>
    <row r="20" spans="2:17" ht="12.75">
      <c r="B20" s="15">
        <f>IF(C7&gt;D19,0,IF(C8&gt;D19,DATEDIF(C7,"12/02/2012","Y"),DATEDIF(C7,C8+1,"Y")))</f>
        <v>1</v>
      </c>
      <c r="C20" s="29" t="s">
        <v>5</v>
      </c>
      <c r="D20" s="18"/>
      <c r="E20" s="145">
        <f>B20*45</f>
        <v>45</v>
      </c>
      <c r="F20" s="29" t="s">
        <v>1</v>
      </c>
      <c r="G20" s="18"/>
      <c r="H20" s="1">
        <f>IF(C8&lt;K19,0,IF(C7&gt;K19,DATEDIF(C7,C8+1,"Y"),DATEDIF("12/02/2012",C8+1,"Y")))</f>
        <v>10</v>
      </c>
      <c r="I20" s="29" t="s">
        <v>5</v>
      </c>
      <c r="J20" s="18"/>
      <c r="K20" s="145">
        <f>H20*33</f>
        <v>330</v>
      </c>
      <c r="L20" s="29" t="s">
        <v>1</v>
      </c>
      <c r="M20" s="18"/>
      <c r="N20" s="18">
        <f>DATEDIF(C7,C8+1,"y")</f>
        <v>11</v>
      </c>
      <c r="O20" s="31" t="s">
        <v>5</v>
      </c>
      <c r="Q20" s="88"/>
    </row>
    <row r="21" spans="2:19" ht="12.75">
      <c r="B21" s="15">
        <f>IF(C7&gt;D19,0,IF(C8&gt;D19,DATEDIF(C7,"12/02/2012","YM"),DATEDIF(C7,C8+1,"YM")))</f>
        <v>5</v>
      </c>
      <c r="C21" s="29" t="s">
        <v>6</v>
      </c>
      <c r="D21" s="18"/>
      <c r="E21" s="18">
        <f>ROUND((B21/12)*45,2)</f>
        <v>18.75</v>
      </c>
      <c r="F21" s="29" t="s">
        <v>1</v>
      </c>
      <c r="G21" s="18"/>
      <c r="H21" s="18">
        <f>IF(C8&lt;K19,0,IF(C7&gt;K19,DATEDIF(C7,C8+1,"YM"),DATEDIF("12/02/2012",C8+1,"YM")))</f>
        <v>3</v>
      </c>
      <c r="I21" s="29" t="s">
        <v>6</v>
      </c>
      <c r="J21" s="18"/>
      <c r="K21" s="18">
        <f>ROUND((H21/12)*33,2)</f>
        <v>8.25</v>
      </c>
      <c r="L21" s="29" t="s">
        <v>1</v>
      </c>
      <c r="M21" s="18"/>
      <c r="N21" s="18">
        <f>DATEDIF(C7,C8+1,"YM")</f>
        <v>8</v>
      </c>
      <c r="O21" s="31" t="s">
        <v>6</v>
      </c>
      <c r="S21" s="150"/>
    </row>
    <row r="22" spans="2:20" ht="12.75">
      <c r="B22" s="32">
        <f>IF(C7&gt;D19,0,IF(C8&gt;D19,DATEDIF(C7,"12/02/2012","MD"),DATEDIF(C7,C8+1,"MD")))</f>
        <v>11</v>
      </c>
      <c r="C22" s="33" t="s">
        <v>1</v>
      </c>
      <c r="D22" s="34"/>
      <c r="E22" s="34">
        <f>ROUND(IF(B22&gt;0,45/12,0),2)</f>
        <v>3.75</v>
      </c>
      <c r="F22" s="33" t="s">
        <v>1</v>
      </c>
      <c r="G22" s="18"/>
      <c r="H22" s="34">
        <f>IF(C8&lt;K19,0,IF(C7&gt;K19,DATEDIF(C7,C8+1,"MD"),DATEDIF("12/02/2012",C8+1,"MD")))</f>
        <v>9</v>
      </c>
      <c r="I22" s="33" t="s">
        <v>1</v>
      </c>
      <c r="J22" s="34"/>
      <c r="K22" s="34">
        <f>ROUND(IF(H22&gt;0,33/12,0),2)</f>
        <v>2.75</v>
      </c>
      <c r="L22" s="33" t="s">
        <v>1</v>
      </c>
      <c r="M22" s="18"/>
      <c r="N22" s="34">
        <f>DATEDIF(C7,C8+1,"MD")</f>
        <v>20</v>
      </c>
      <c r="O22" s="148" t="s">
        <v>1</v>
      </c>
      <c r="S22" s="66"/>
      <c r="T22" s="66"/>
    </row>
    <row r="23" spans="2:15" ht="12.75">
      <c r="B23" s="15">
        <f>B20*12+B21+IF(B22&gt;0,1,0)</f>
        <v>18</v>
      </c>
      <c r="C23" s="91" t="s">
        <v>6</v>
      </c>
      <c r="D23" s="18"/>
      <c r="E23" s="60">
        <f>SUM(E20:E22)</f>
        <v>67.5</v>
      </c>
      <c r="F23" s="36" t="s">
        <v>1</v>
      </c>
      <c r="G23" s="18"/>
      <c r="H23" s="91">
        <f>H20*12+H21+IF(H22&gt;0,1,0)</f>
        <v>124</v>
      </c>
      <c r="I23" s="91" t="s">
        <v>6</v>
      </c>
      <c r="J23" s="18"/>
      <c r="K23" s="60">
        <f>SUM(K20:K22)</f>
        <v>341</v>
      </c>
      <c r="L23" s="36" t="s">
        <v>1</v>
      </c>
      <c r="M23" s="18"/>
      <c r="N23" s="91">
        <f>N20*12+N21+IF(N22&gt;0,1,0)</f>
        <v>141</v>
      </c>
      <c r="O23" s="147" t="s">
        <v>6</v>
      </c>
    </row>
    <row r="24" spans="2:15" ht="12.75">
      <c r="B24" s="15"/>
      <c r="C24" s="18"/>
      <c r="D24" s="18"/>
      <c r="E24" s="54">
        <f>IF(C8&lt;DATE(2012,2,12),"Atención: la fecha de despido es anterior a la publicación del RDL 3/2012","")</f>
      </c>
      <c r="F24" s="18"/>
      <c r="G24" s="18"/>
      <c r="I24" s="18"/>
      <c r="J24" s="18"/>
      <c r="K24" s="18"/>
      <c r="L24" s="18"/>
      <c r="M24" s="18"/>
      <c r="N24" s="18"/>
      <c r="O24" s="17"/>
    </row>
    <row r="25" spans="2:15" ht="12.75">
      <c r="B25" s="15"/>
      <c r="C25" s="35" t="s">
        <v>0</v>
      </c>
      <c r="D25" s="35"/>
      <c r="E25" s="35"/>
      <c r="F25" s="35"/>
      <c r="G25" s="60">
        <f>IF((E23+K23)&gt;720,IF(E23&gt;1260,1260,IF(E23&lt;720,720,E23)),(E23+K23))</f>
        <v>408.5</v>
      </c>
      <c r="H25" s="35" t="s">
        <v>10</v>
      </c>
      <c r="I25" s="35"/>
      <c r="J25" s="35" t="s">
        <v>20</v>
      </c>
      <c r="K25" s="35">
        <f>IF(O6="","Seleccione periodicidad del salario",IF(O6=3,L7,IF(O6=2,IF(O7=1,L7/L9,IF(O7=2,((L7/L9)*360)/365)),IF(O6=1,L7/365))))</f>
        <v>49.31506849315068</v>
      </c>
      <c r="L25" s="35" t="s">
        <v>7</v>
      </c>
      <c r="M25" s="35" t="s">
        <v>21</v>
      </c>
      <c r="N25" s="247">
        <f>IF((E23+K23)&gt;720,IF(E23&gt;1260,K25*1260,IF(E23&lt;720,K25*720,E23*K25)),(E23+K23)*K25)</f>
        <v>20145.205479452055</v>
      </c>
      <c r="O25" s="247"/>
    </row>
    <row r="26" spans="2:15" ht="13.5" thickBot="1">
      <c r="B26" s="37">
        <f>IF((E23+K23)&gt;720,IF(E23&gt;1260,"Se aplica el límite, 42 mensualidades por el periodo anterior al 12/02/2012",IF(E23&lt;720,"Se aplica el límite de 720 días ","La indemnización es mayor de 720 días, sólo computa el periodo anterior al 12/02/2012")),"")</f>
      </c>
      <c r="C26" s="9"/>
      <c r="D26" s="9"/>
      <c r="E26" s="9"/>
      <c r="F26" s="9"/>
      <c r="G26" s="9"/>
      <c r="H26" s="9"/>
      <c r="I26" s="9"/>
      <c r="J26" s="9"/>
      <c r="K26" s="198">
        <f>IF(N25&gt;180000,"Los "&amp;ROUND(N25-180000,2)&amp;" € que exceden de 180.000 TRIBUTAN","")</f>
      </c>
      <c r="L26" s="9"/>
      <c r="M26" s="9"/>
      <c r="N26" s="9"/>
      <c r="O26" s="26"/>
    </row>
    <row r="27" ht="6.75" customHeight="1" thickBot="1"/>
    <row r="28" spans="2:15" ht="12.75">
      <c r="B28" s="215" t="s">
        <v>94</v>
      </c>
      <c r="C28" s="216"/>
      <c r="D28" s="216"/>
      <c r="E28" s="216"/>
      <c r="F28" s="216"/>
      <c r="G28" s="216"/>
      <c r="H28" s="216"/>
      <c r="I28" s="216"/>
      <c r="J28" s="216"/>
      <c r="K28" s="216"/>
      <c r="L28" s="216"/>
      <c r="M28" s="216"/>
      <c r="N28" s="216"/>
      <c r="O28" s="217"/>
    </row>
    <row r="29" spans="2:15" ht="6" customHeight="1">
      <c r="B29" s="15"/>
      <c r="C29" s="18"/>
      <c r="D29" s="18"/>
      <c r="E29" s="18"/>
      <c r="F29" s="18"/>
      <c r="G29" s="18"/>
      <c r="H29" s="18"/>
      <c r="I29" s="18"/>
      <c r="J29" s="18"/>
      <c r="K29" s="18"/>
      <c r="L29" s="18"/>
      <c r="M29" s="18"/>
      <c r="N29" s="18"/>
      <c r="O29" s="17"/>
    </row>
    <row r="30" spans="2:18" ht="12.75">
      <c r="B30" s="209">
        <f>IF($N$23*(20/12)&gt;$O$10,"Límite: 12 meses en lugar de ","")</f>
      </c>
      <c r="C30" s="210"/>
      <c r="D30" s="210"/>
      <c r="E30" s="153">
        <f>IF($N$23*(20/12)&gt;$O$10,$N$23*(20/12),"")</f>
      </c>
      <c r="F30" s="61">
        <f>IF($N$23*(20/12)&gt;$O$10,"dias","")</f>
      </c>
      <c r="G30" s="60">
        <f>IF($N$23*(20/12)&gt;360,360,$N$23*(20/12))</f>
        <v>235</v>
      </c>
      <c r="H30" s="35" t="s">
        <v>24</v>
      </c>
      <c r="I30" s="35"/>
      <c r="J30" s="35" t="s">
        <v>20</v>
      </c>
      <c r="K30" s="35">
        <f>$K$25</f>
        <v>49.31506849315068</v>
      </c>
      <c r="L30" s="35" t="s">
        <v>7</v>
      </c>
      <c r="M30" s="35" t="s">
        <v>21</v>
      </c>
      <c r="N30" s="211">
        <f>K30*G30</f>
        <v>11589.04109589041</v>
      </c>
      <c r="O30" s="212"/>
      <c r="R30" s="63"/>
    </row>
    <row r="31" spans="2:18" ht="5.25" customHeight="1">
      <c r="B31" s="181"/>
      <c r="C31" s="182"/>
      <c r="D31" s="182"/>
      <c r="E31" s="153"/>
      <c r="F31" s="61"/>
      <c r="G31" s="60"/>
      <c r="H31" s="35"/>
      <c r="I31" s="35"/>
      <c r="J31" s="35"/>
      <c r="K31" s="35"/>
      <c r="L31" s="35"/>
      <c r="M31" s="35"/>
      <c r="N31" s="179"/>
      <c r="O31" s="180"/>
      <c r="R31" s="63"/>
    </row>
    <row r="32" spans="2:18" ht="12.75">
      <c r="B32" s="181"/>
      <c r="C32" s="182"/>
      <c r="D32" s="182"/>
      <c r="E32" s="153"/>
      <c r="F32" s="61"/>
      <c r="G32" s="60"/>
      <c r="H32" s="35"/>
      <c r="I32" s="183" t="s">
        <v>95</v>
      </c>
      <c r="J32" s="35"/>
      <c r="M32" s="35"/>
      <c r="N32" s="213">
        <f>N25-N30</f>
        <v>8556.164383561645</v>
      </c>
      <c r="O32" s="214"/>
      <c r="R32" s="63"/>
    </row>
    <row r="33" spans="2:18" ht="12.75">
      <c r="B33" s="194"/>
      <c r="C33" s="195"/>
      <c r="D33" s="195"/>
      <c r="E33" s="153"/>
      <c r="F33" s="61"/>
      <c r="G33" s="60"/>
      <c r="H33" s="35"/>
      <c r="I33" s="183"/>
      <c r="J33" s="35"/>
      <c r="M33" s="35"/>
      <c r="N33" s="196"/>
      <c r="O33" s="197"/>
      <c r="R33" s="63"/>
    </row>
    <row r="34" spans="2:18" ht="12.75">
      <c r="B34" s="194"/>
      <c r="C34" s="195"/>
      <c r="D34" s="195"/>
      <c r="E34" s="153"/>
      <c r="F34" s="61"/>
      <c r="G34" s="60"/>
      <c r="H34" s="35"/>
      <c r="I34" s="183"/>
      <c r="J34" s="35"/>
      <c r="M34" s="35"/>
      <c r="N34" s="196"/>
      <c r="O34" s="197"/>
      <c r="R34" s="63"/>
    </row>
    <row r="35" spans="2:15" ht="13.5" thickBot="1">
      <c r="B35" s="24"/>
      <c r="C35" s="9"/>
      <c r="D35" s="9"/>
      <c r="E35" s="9">
        <f>IF(AND(Q6,C8&lt;Q3),"A cargo de la empresa","")</f>
      </c>
      <c r="F35" s="9"/>
      <c r="G35" s="9"/>
      <c r="H35" s="208">
        <f>IF(AND(Q6,C8&lt;Q3),N30-N35,"")</f>
      </c>
      <c r="I35" s="208"/>
      <c r="J35" s="9"/>
      <c r="K35" s="9"/>
      <c r="L35" s="9"/>
      <c r="M35" s="162">
        <f>IF(AND(Q6,C8&lt;Q3),"A cargo del FOGASA","")</f>
      </c>
      <c r="N35" s="218">
        <f>IF(AND(Q6,C8&lt;Q3),F73*IF($N$23*(8/12)&gt;$O$10,$O$10,$N$23*(8/12)),"")</f>
      </c>
      <c r="O35" s="219"/>
    </row>
    <row r="36" spans="2:15" ht="6.75" customHeight="1" thickBot="1">
      <c r="B36" s="99"/>
      <c r="C36" s="18"/>
      <c r="D36" s="18"/>
      <c r="E36" s="18"/>
      <c r="F36" s="18"/>
      <c r="G36" s="18"/>
      <c r="H36" s="18"/>
      <c r="I36" s="18"/>
      <c r="J36" s="18"/>
      <c r="K36" s="18"/>
      <c r="L36" s="18"/>
      <c r="M36" s="48"/>
      <c r="N36" s="146"/>
      <c r="O36" s="146"/>
    </row>
    <row r="37" spans="2:15" ht="12.75">
      <c r="B37" s="215" t="s">
        <v>70</v>
      </c>
      <c r="C37" s="216"/>
      <c r="D37" s="216"/>
      <c r="E37" s="216"/>
      <c r="F37" s="216"/>
      <c r="G37" s="216"/>
      <c r="H37" s="216"/>
      <c r="I37" s="216"/>
      <c r="J37" s="216"/>
      <c r="K37" s="216"/>
      <c r="L37" s="216"/>
      <c r="M37" s="216"/>
      <c r="N37" s="216"/>
      <c r="O37" s="217"/>
    </row>
    <row r="38" spans="2:15" ht="6" customHeight="1">
      <c r="B38" s="15"/>
      <c r="C38" s="18"/>
      <c r="D38" s="18"/>
      <c r="E38" s="18"/>
      <c r="F38" s="18"/>
      <c r="G38" s="18"/>
      <c r="H38" s="18"/>
      <c r="I38" s="18"/>
      <c r="J38" s="18"/>
      <c r="K38" s="18"/>
      <c r="L38" s="18"/>
      <c r="M38" s="18"/>
      <c r="N38" s="18"/>
      <c r="O38" s="17"/>
    </row>
    <row r="39" spans="2:15" ht="12.75">
      <c r="B39" s="209">
        <f>IF($N$23*(20/12)&gt;270,"Límite: 9 meses en lugar de ","")</f>
      </c>
      <c r="C39" s="210"/>
      <c r="D39" s="210"/>
      <c r="E39" s="164">
        <f>IF($N$23*(20/12)&gt;270,$N$23*(20/12),"")</f>
      </c>
      <c r="F39" s="61">
        <f>IF($N$23*(20/12)&gt;$O$10,"dias","")</f>
      </c>
      <c r="G39" s="60">
        <f>IF($N$23*(20/12)&gt;270,270,$N$23*(20/12))</f>
        <v>235</v>
      </c>
      <c r="H39" s="35" t="s">
        <v>24</v>
      </c>
      <c r="I39" s="35"/>
      <c r="J39" s="35" t="s">
        <v>20</v>
      </c>
      <c r="K39" s="35">
        <f>$K$25</f>
        <v>49.31506849315068</v>
      </c>
      <c r="L39" s="35" t="s">
        <v>7</v>
      </c>
      <c r="M39" s="35" t="s">
        <v>21</v>
      </c>
      <c r="N39" s="211">
        <f>K39*G39</f>
        <v>11589.04109589041</v>
      </c>
      <c r="O39" s="212"/>
    </row>
    <row r="40" spans="2:15" ht="6" customHeight="1" thickBot="1">
      <c r="B40" s="37"/>
      <c r="C40" s="9"/>
      <c r="D40" s="9"/>
      <c r="E40" s="9"/>
      <c r="F40" s="9"/>
      <c r="G40" s="9"/>
      <c r="H40" s="9"/>
      <c r="I40" s="9"/>
      <c r="J40" s="9"/>
      <c r="K40" s="9"/>
      <c r="L40" s="9"/>
      <c r="M40" s="41"/>
      <c r="N40" s="218"/>
      <c r="O40" s="219"/>
    </row>
    <row r="41" spans="2:15" ht="8.25" customHeight="1" thickBot="1">
      <c r="B41" s="99"/>
      <c r="C41" s="18"/>
      <c r="D41" s="18"/>
      <c r="E41" s="18"/>
      <c r="F41" s="18"/>
      <c r="G41" s="18"/>
      <c r="H41" s="18"/>
      <c r="I41" s="18"/>
      <c r="J41" s="18"/>
      <c r="K41" s="18"/>
      <c r="L41" s="18"/>
      <c r="M41" s="48"/>
      <c r="N41" s="146"/>
      <c r="O41" s="146"/>
    </row>
    <row r="42" spans="2:15" ht="12.75" customHeight="1">
      <c r="B42" s="215" t="s">
        <v>71</v>
      </c>
      <c r="C42" s="216"/>
      <c r="D42" s="216"/>
      <c r="E42" s="216"/>
      <c r="F42" s="216"/>
      <c r="G42" s="216"/>
      <c r="H42" s="216"/>
      <c r="I42" s="216"/>
      <c r="J42" s="216"/>
      <c r="K42" s="216"/>
      <c r="L42" s="216"/>
      <c r="M42" s="216"/>
      <c r="N42" s="216"/>
      <c r="O42" s="217"/>
    </row>
    <row r="43" spans="2:15" ht="6.75" customHeight="1">
      <c r="B43" s="15"/>
      <c r="C43" s="18"/>
      <c r="D43" s="18"/>
      <c r="E43" s="18"/>
      <c r="F43" s="18"/>
      <c r="G43" s="18"/>
      <c r="H43" s="18"/>
      <c r="I43" s="18"/>
      <c r="J43" s="18"/>
      <c r="K43" s="18"/>
      <c r="L43" s="18"/>
      <c r="M43" s="18"/>
      <c r="N43" s="18"/>
      <c r="O43" s="17"/>
    </row>
    <row r="44" spans="2:15" ht="12.75" customHeight="1">
      <c r="B44" s="209">
        <f>IF($N$23*(33/12)&gt;720,"Límite: 24 meses en lugar de ","")</f>
      </c>
      <c r="C44" s="210"/>
      <c r="D44" s="210"/>
      <c r="E44" s="153">
        <f>IF($N$23*(33/12)&gt;720,$N$23*(33/12),"")</f>
      </c>
      <c r="F44" s="61">
        <f>IF($N$23*(33/12)&gt;720,"dias","")</f>
      </c>
      <c r="G44" s="60">
        <f>IF($N$23*(33/12)&gt;720,720,$N$23*(33/12))</f>
        <v>387.75</v>
      </c>
      <c r="H44" s="35" t="s">
        <v>24</v>
      </c>
      <c r="I44" s="35"/>
      <c r="J44" s="35" t="s">
        <v>20</v>
      </c>
      <c r="K44" s="35">
        <f>$K$25</f>
        <v>49.31506849315068</v>
      </c>
      <c r="L44" s="35" t="s">
        <v>7</v>
      </c>
      <c r="M44" s="35" t="s">
        <v>21</v>
      </c>
      <c r="N44" s="211">
        <f>K44*G44</f>
        <v>19121.917808219176</v>
      </c>
      <c r="O44" s="212"/>
    </row>
    <row r="45" spans="2:15" ht="6.75" customHeight="1" thickBot="1">
      <c r="B45" s="37"/>
      <c r="C45" s="9"/>
      <c r="D45" s="9"/>
      <c r="E45" s="9"/>
      <c r="F45" s="9"/>
      <c r="G45" s="9"/>
      <c r="H45" s="9"/>
      <c r="I45" s="9"/>
      <c r="J45" s="9"/>
      <c r="K45" s="9"/>
      <c r="L45" s="9"/>
      <c r="M45" s="41"/>
      <c r="N45" s="218"/>
      <c r="O45" s="219"/>
    </row>
    <row r="46" spans="2:15" ht="9" customHeight="1" thickBot="1">
      <c r="B46" s="99"/>
      <c r="C46" s="18"/>
      <c r="D46" s="18"/>
      <c r="E46" s="18"/>
      <c r="F46" s="18"/>
      <c r="G46" s="18"/>
      <c r="H46" s="18"/>
      <c r="I46" s="10"/>
      <c r="J46" s="18"/>
      <c r="K46" s="18"/>
      <c r="L46" s="18"/>
      <c r="M46" s="48"/>
      <c r="N46" s="146"/>
      <c r="O46" s="146"/>
    </row>
    <row r="47" spans="2:15" ht="12.75" customHeight="1">
      <c r="B47" s="215" t="s">
        <v>72</v>
      </c>
      <c r="C47" s="216"/>
      <c r="D47" s="216"/>
      <c r="E47" s="216"/>
      <c r="F47" s="216"/>
      <c r="G47" s="216"/>
      <c r="H47" s="216"/>
      <c r="I47" s="216"/>
      <c r="J47" s="216"/>
      <c r="K47" s="216"/>
      <c r="L47" s="216"/>
      <c r="M47" s="216"/>
      <c r="N47" s="216"/>
      <c r="O47" s="217"/>
    </row>
    <row r="48" spans="2:15" ht="12.75" customHeight="1">
      <c r="B48" s="15"/>
      <c r="C48" s="18"/>
      <c r="D48" s="18"/>
      <c r="E48" s="18"/>
      <c r="F48" s="18"/>
      <c r="G48" s="18"/>
      <c r="H48" s="18"/>
      <c r="I48" s="18"/>
      <c r="J48" s="18"/>
      <c r="K48" s="18"/>
      <c r="L48" s="18"/>
      <c r="M48" s="18"/>
      <c r="N48" s="18"/>
      <c r="O48" s="17"/>
    </row>
    <row r="49" spans="2:15" ht="12.75" customHeight="1">
      <c r="B49" s="15">
        <f>DATEDIF(C7-1,C8,"d")</f>
        <v>4280</v>
      </c>
      <c r="C49" s="91" t="s">
        <v>73</v>
      </c>
      <c r="D49" s="163"/>
      <c r="E49" s="178">
        <f>(G49*365)/B49</f>
        <v>8</v>
      </c>
      <c r="F49" s="35" t="s">
        <v>90</v>
      </c>
      <c r="G49" s="60">
        <f>IF(C7&gt;DATEVALUE("1/01/2015"),B49*(12/365),IF(C7&gt;DATEVALUE("1/01/2014"),B49*(11/365),IF(C7&gt;DATEVALUE("1/01/2013"),B49*(10/365),IF(C7&gt;DATEVALUE("1/01/2012"),B49*(9/365),B49*(8/365)))))</f>
        <v>93.8082191780822</v>
      </c>
      <c r="H49" s="35" t="s">
        <v>24</v>
      </c>
      <c r="I49" s="35"/>
      <c r="J49" s="35" t="s">
        <v>20</v>
      </c>
      <c r="K49" s="35">
        <f>$K$25</f>
        <v>49.31506849315068</v>
      </c>
      <c r="L49" s="35" t="s">
        <v>7</v>
      </c>
      <c r="M49" s="35" t="s">
        <v>21</v>
      </c>
      <c r="N49" s="211">
        <f>K49*G49</f>
        <v>4626.1587539876155</v>
      </c>
      <c r="O49" s="212"/>
    </row>
    <row r="50" spans="2:15" ht="13.5" thickBot="1">
      <c r="B50" s="37"/>
      <c r="C50" s="9"/>
      <c r="D50" s="9"/>
      <c r="E50" s="9"/>
      <c r="F50" s="9"/>
      <c r="G50" s="9"/>
      <c r="H50" s="9"/>
      <c r="I50" s="9"/>
      <c r="J50" s="9"/>
      <c r="K50" s="9"/>
      <c r="L50" s="9"/>
      <c r="M50" s="41"/>
      <c r="N50" s="218"/>
      <c r="O50" s="219"/>
    </row>
    <row r="51" spans="2:15" ht="9" customHeight="1" thickBot="1">
      <c r="B51" s="99"/>
      <c r="C51" s="18"/>
      <c r="D51" s="18"/>
      <c r="E51" s="18"/>
      <c r="F51" s="18"/>
      <c r="G51" s="18"/>
      <c r="H51" s="18"/>
      <c r="I51" s="18"/>
      <c r="J51" s="18"/>
      <c r="K51" s="18"/>
      <c r="L51" s="18"/>
      <c r="M51" s="48"/>
      <c r="N51" s="96"/>
      <c r="O51" s="96"/>
    </row>
    <row r="52" spans="2:15" ht="12.75">
      <c r="B52" s="2" t="s">
        <v>25</v>
      </c>
      <c r="C52" s="3"/>
      <c r="D52" s="3"/>
      <c r="E52" s="3"/>
      <c r="F52" s="3"/>
      <c r="G52" s="3"/>
      <c r="H52" s="3"/>
      <c r="I52" s="3"/>
      <c r="J52" s="3"/>
      <c r="K52" s="3"/>
      <c r="L52" s="3"/>
      <c r="M52" s="3"/>
      <c r="N52" s="3"/>
      <c r="O52" s="4"/>
    </row>
    <row r="53" spans="2:15" ht="7.5" customHeight="1">
      <c r="B53" s="15"/>
      <c r="C53" s="18"/>
      <c r="D53" s="18"/>
      <c r="E53" s="18"/>
      <c r="F53" s="18"/>
      <c r="G53" s="18"/>
      <c r="H53" s="18"/>
      <c r="I53" s="18"/>
      <c r="J53" s="18"/>
      <c r="K53" s="18"/>
      <c r="L53" s="18"/>
      <c r="M53" s="18"/>
      <c r="N53" s="18"/>
      <c r="O53" s="17"/>
    </row>
    <row r="54" spans="2:15" ht="12.75">
      <c r="B54" s="44" t="s">
        <v>8</v>
      </c>
      <c r="C54" s="45"/>
      <c r="D54" s="45" t="s">
        <v>26</v>
      </c>
      <c r="E54" s="46">
        <v>33</v>
      </c>
      <c r="F54" s="45" t="s">
        <v>27</v>
      </c>
      <c r="G54" s="47"/>
      <c r="H54" s="28" t="s">
        <v>9</v>
      </c>
      <c r="I54" s="45"/>
      <c r="J54" s="45" t="s">
        <v>28</v>
      </c>
      <c r="K54" s="46">
        <v>28</v>
      </c>
      <c r="L54" s="47" t="s">
        <v>27</v>
      </c>
      <c r="M54" s="18"/>
      <c r="N54" s="30" t="s">
        <v>3</v>
      </c>
      <c r="O54" s="17"/>
    </row>
    <row r="55" spans="2:15" ht="12.75">
      <c r="B55" s="15">
        <f>B20</f>
        <v>1</v>
      </c>
      <c r="C55" s="18" t="s">
        <v>5</v>
      </c>
      <c r="D55" s="18"/>
      <c r="E55" s="145">
        <f>B55*E54</f>
        <v>33</v>
      </c>
      <c r="F55" s="18" t="s">
        <v>1</v>
      </c>
      <c r="G55" s="18"/>
      <c r="H55" s="18">
        <f>H20</f>
        <v>10</v>
      </c>
      <c r="I55" s="18" t="s">
        <v>5</v>
      </c>
      <c r="J55" s="18"/>
      <c r="K55" s="145">
        <f>H55*K54</f>
        <v>280</v>
      </c>
      <c r="L55" s="18" t="s">
        <v>1</v>
      </c>
      <c r="M55" s="18"/>
      <c r="N55" s="18">
        <f>N20</f>
        <v>11</v>
      </c>
      <c r="O55" s="17" t="s">
        <v>5</v>
      </c>
    </row>
    <row r="56" spans="2:15" ht="12.75">
      <c r="B56" s="15">
        <f>B21</f>
        <v>5</v>
      </c>
      <c r="C56" s="18" t="s">
        <v>6</v>
      </c>
      <c r="D56" s="18"/>
      <c r="E56" s="18">
        <f>ROUND((B56/12)*E54,2)</f>
        <v>13.75</v>
      </c>
      <c r="F56" s="18" t="s">
        <v>1</v>
      </c>
      <c r="G56" s="18"/>
      <c r="H56" s="18">
        <f>H21</f>
        <v>3</v>
      </c>
      <c r="I56" s="18" t="s">
        <v>6</v>
      </c>
      <c r="J56" s="18"/>
      <c r="K56" s="18">
        <f>ROUND((H56/12)*K54,2)</f>
        <v>7</v>
      </c>
      <c r="L56" s="18" t="s">
        <v>1</v>
      </c>
      <c r="M56" s="18"/>
      <c r="N56" s="18">
        <f>N21</f>
        <v>8</v>
      </c>
      <c r="O56" s="17" t="s">
        <v>6</v>
      </c>
    </row>
    <row r="57" spans="2:15" ht="12.75">
      <c r="B57" s="32">
        <f>B22</f>
        <v>11</v>
      </c>
      <c r="C57" s="34" t="s">
        <v>1</v>
      </c>
      <c r="D57" s="34"/>
      <c r="E57" s="34">
        <f>ROUND(IF(B57&gt;0,E54/12,0),2)</f>
        <v>2.75</v>
      </c>
      <c r="F57" s="34" t="s">
        <v>1</v>
      </c>
      <c r="G57" s="18"/>
      <c r="H57" s="34">
        <f>H22</f>
        <v>9</v>
      </c>
      <c r="I57" s="34" t="s">
        <v>1</v>
      </c>
      <c r="J57" s="34"/>
      <c r="K57" s="34">
        <f>ROUND(IF(H57&gt;0,K54/12,0),2)</f>
        <v>2.33</v>
      </c>
      <c r="L57" s="34" t="s">
        <v>1</v>
      </c>
      <c r="M57" s="18"/>
      <c r="N57" s="34">
        <f>N22</f>
        <v>20</v>
      </c>
      <c r="O57" s="149" t="s">
        <v>1</v>
      </c>
    </row>
    <row r="58" spans="2:15" ht="12.75">
      <c r="B58" s="15">
        <f>B55*12+B56+IF(B57&gt;0,1,0)</f>
        <v>18</v>
      </c>
      <c r="C58" s="18" t="s">
        <v>6</v>
      </c>
      <c r="D58" s="18"/>
      <c r="E58" s="60">
        <f>SUM(E55:E57)</f>
        <v>49.5</v>
      </c>
      <c r="F58" s="35" t="s">
        <v>1</v>
      </c>
      <c r="G58" s="18"/>
      <c r="H58" s="91">
        <f>H55*12+H56+IF(H57&gt;0,1,0)</f>
        <v>124</v>
      </c>
      <c r="I58" s="18" t="s">
        <v>6</v>
      </c>
      <c r="J58" s="18"/>
      <c r="K58" s="60">
        <f>IF(SUM(K55:K57)&gt;0,SUM(K55:K57),0)</f>
        <v>289.33</v>
      </c>
      <c r="L58" s="35" t="s">
        <v>1</v>
      </c>
      <c r="M58" s="18"/>
      <c r="N58" s="91">
        <f>H58+B58</f>
        <v>142</v>
      </c>
      <c r="O58" s="17" t="s">
        <v>6</v>
      </c>
    </row>
    <row r="59" spans="2:15" ht="9.75" customHeight="1">
      <c r="B59" s="15"/>
      <c r="C59" s="18"/>
      <c r="D59" s="18"/>
      <c r="E59" s="18"/>
      <c r="F59" s="18"/>
      <c r="G59" s="18"/>
      <c r="H59" s="18"/>
      <c r="I59" s="18"/>
      <c r="J59" s="18"/>
      <c r="K59" s="18"/>
      <c r="L59" s="18"/>
      <c r="M59" s="18"/>
      <c r="N59" s="18"/>
      <c r="O59" s="17"/>
    </row>
    <row r="60" spans="2:15" ht="12.75">
      <c r="B60" s="15"/>
      <c r="C60" s="35" t="s">
        <v>0</v>
      </c>
      <c r="D60" s="35"/>
      <c r="E60" s="35"/>
      <c r="F60" s="35"/>
      <c r="G60" s="60">
        <f>IF((K58+E58)&gt;720,IF(E58&gt;1260,1260,IF(E58&lt;720,720,E58)),(K58+E58))</f>
        <v>338.83</v>
      </c>
      <c r="H60" s="35" t="s">
        <v>10</v>
      </c>
      <c r="I60" s="35"/>
      <c r="J60" s="35" t="s">
        <v>20</v>
      </c>
      <c r="K60" s="35">
        <f>K25</f>
        <v>49.31506849315068</v>
      </c>
      <c r="L60" s="35" t="s">
        <v>7</v>
      </c>
      <c r="M60" s="35" t="s">
        <v>21</v>
      </c>
      <c r="N60" s="211">
        <f>IF((K58+E58)&gt;720,IF(E58&gt;1260,K60*1260,IF(E58&lt;720,K60*720,E58*K60)),(K58+E58)*K60)</f>
        <v>16709.424657534244</v>
      </c>
      <c r="O60" s="212"/>
    </row>
    <row r="61" spans="2:15" ht="5.25" customHeight="1">
      <c r="B61" s="15"/>
      <c r="C61" s="35"/>
      <c r="D61" s="35"/>
      <c r="E61" s="35"/>
      <c r="F61" s="35"/>
      <c r="G61" s="60"/>
      <c r="H61" s="35"/>
      <c r="I61" s="35"/>
      <c r="J61" s="35"/>
      <c r="K61" s="35"/>
      <c r="L61" s="35"/>
      <c r="M61" s="35"/>
      <c r="N61" s="179"/>
      <c r="O61" s="180"/>
    </row>
    <row r="62" spans="2:15" ht="12.75">
      <c r="B62" s="15"/>
      <c r="C62" s="35"/>
      <c r="D62" s="35"/>
      <c r="E62" s="35"/>
      <c r="F62" s="35"/>
      <c r="G62" s="60"/>
      <c r="H62" s="35"/>
      <c r="I62" s="183" t="s">
        <v>95</v>
      </c>
      <c r="J62" s="35"/>
      <c r="K62" s="35"/>
      <c r="L62" s="35"/>
      <c r="M62" s="35"/>
      <c r="N62" s="213">
        <f>N25-N60</f>
        <v>3435.7808219178114</v>
      </c>
      <c r="O62" s="214"/>
    </row>
    <row r="63" spans="2:15" ht="12.75">
      <c r="B63" s="15"/>
      <c r="C63" s="35"/>
      <c r="D63" s="35"/>
      <c r="E63" s="35"/>
      <c r="F63" s="35"/>
      <c r="G63" s="60"/>
      <c r="H63" s="35"/>
      <c r="I63" s="183" t="s">
        <v>96</v>
      </c>
      <c r="J63" s="35"/>
      <c r="K63" s="35"/>
      <c r="L63" s="35"/>
      <c r="M63" s="35"/>
      <c r="N63" s="213">
        <f>N30-N60</f>
        <v>-5120.383561643834</v>
      </c>
      <c r="O63" s="214"/>
    </row>
    <row r="64" spans="2:15" ht="7.5" customHeight="1">
      <c r="B64" s="15"/>
      <c r="C64" s="35"/>
      <c r="D64" s="35"/>
      <c r="E64" s="35"/>
      <c r="F64" s="35"/>
      <c r="G64" s="60"/>
      <c r="H64" s="35"/>
      <c r="I64" s="35"/>
      <c r="J64" s="35"/>
      <c r="K64" s="35"/>
      <c r="L64" s="35"/>
      <c r="M64" s="35"/>
      <c r="N64" s="179"/>
      <c r="O64" s="180"/>
    </row>
    <row r="65" spans="2:15" ht="13.5" thickBot="1">
      <c r="B65" s="37">
        <f>IF((E58+K58)&gt;720,IF(E57&gt;1260,"Se aplica el límite, 42 mensualidades por el periodo anterior al 12/02/2012",IF(E58&lt;720,"Se aplica el límite de 720 días","La indemnización es mayor de 720 días, sólo computa el periodo anterior al 12/02/2012")),"")</f>
      </c>
      <c r="C65" s="9"/>
      <c r="D65" s="9"/>
      <c r="E65" s="9"/>
      <c r="F65" s="9"/>
      <c r="G65" s="9"/>
      <c r="H65" s="9"/>
      <c r="I65" s="9"/>
      <c r="J65" s="9"/>
      <c r="K65" s="9"/>
      <c r="L65" s="9"/>
      <c r="M65" s="9"/>
      <c r="N65" s="203"/>
      <c r="O65" s="204"/>
    </row>
    <row r="66" spans="2:15" ht="13.5" thickBot="1">
      <c r="B66" s="91"/>
      <c r="C66" s="91"/>
      <c r="D66" s="91"/>
      <c r="E66" s="91"/>
      <c r="F66" s="91"/>
      <c r="G66" s="91"/>
      <c r="H66" s="91"/>
      <c r="I66" s="91"/>
      <c r="J66" s="91"/>
      <c r="K66" s="91"/>
      <c r="L66" s="91"/>
      <c r="M66" s="91"/>
      <c r="N66" s="154"/>
      <c r="O66" s="154"/>
    </row>
    <row r="67" spans="2:15" ht="16.5" thickBot="1" thickTop="1">
      <c r="B67" s="205" t="s">
        <v>4</v>
      </c>
      <c r="C67" s="206"/>
      <c r="D67" s="206"/>
      <c r="E67" s="206"/>
      <c r="F67" s="206"/>
      <c r="G67" s="206"/>
      <c r="H67" s="206"/>
      <c r="I67" s="206"/>
      <c r="J67" s="206"/>
      <c r="K67" s="206"/>
      <c r="L67" s="206"/>
      <c r="M67" s="206"/>
      <c r="N67" s="206"/>
      <c r="O67" s="207"/>
    </row>
    <row r="68" spans="2:15" ht="6" customHeight="1" thickTop="1">
      <c r="B68" s="155"/>
      <c r="C68" s="91"/>
      <c r="D68" s="91"/>
      <c r="E68" s="91"/>
      <c r="F68" s="91"/>
      <c r="G68" s="91"/>
      <c r="H68" s="91"/>
      <c r="I68" s="91"/>
      <c r="J68" s="91"/>
      <c r="K68" s="91"/>
      <c r="L68" s="91"/>
      <c r="M68" s="91"/>
      <c r="N68" s="154"/>
      <c r="O68" s="156"/>
    </row>
    <row r="69" spans="2:17" ht="12.75">
      <c r="B69" s="103" t="s">
        <v>98</v>
      </c>
      <c r="D69" s="91"/>
      <c r="E69" s="188">
        <v>2023</v>
      </c>
      <c r="F69" s="91"/>
      <c r="G69" s="91" t="s">
        <v>99</v>
      </c>
      <c r="H69" s="187">
        <f>VLOOKUP(E69,B109:C118,2)</f>
        <v>36</v>
      </c>
      <c r="I69" s="91"/>
      <c r="J69" s="91"/>
      <c r="K69" s="91"/>
      <c r="L69" s="91"/>
      <c r="M69" s="157" t="s">
        <v>44</v>
      </c>
      <c r="N69" s="189">
        <f>VLOOKUP(E69,B109:F118,5)</f>
        <v>83.84</v>
      </c>
      <c r="O69" s="156"/>
      <c r="Q69" s="66"/>
    </row>
    <row r="70" spans="2:15" ht="6" customHeight="1" thickBot="1">
      <c r="B70" s="155"/>
      <c r="C70" s="91"/>
      <c r="D70" s="91"/>
      <c r="E70" s="91"/>
      <c r="F70" s="91"/>
      <c r="G70" s="91"/>
      <c r="H70" s="91"/>
      <c r="I70" s="91"/>
      <c r="J70" s="91"/>
      <c r="K70" s="91"/>
      <c r="L70" s="91"/>
      <c r="M70" s="91"/>
      <c r="N70" s="91"/>
      <c r="O70" s="158"/>
    </row>
    <row r="71" spans="2:15" ht="12.75">
      <c r="B71" s="101" t="s">
        <v>22</v>
      </c>
      <c r="C71" s="12"/>
      <c r="D71" s="3"/>
      <c r="E71" s="3"/>
      <c r="F71" s="3"/>
      <c r="G71" s="12"/>
      <c r="H71" s="3"/>
      <c r="I71" s="3"/>
      <c r="J71" s="3"/>
      <c r="K71" s="3"/>
      <c r="L71" s="3"/>
      <c r="M71" s="3"/>
      <c r="N71" s="3"/>
      <c r="O71" s="102"/>
    </row>
    <row r="72" spans="2:15" ht="4.5" customHeight="1">
      <c r="B72" s="103"/>
      <c r="C72" s="18"/>
      <c r="D72" s="18"/>
      <c r="E72" s="18"/>
      <c r="F72" s="18"/>
      <c r="G72" s="18"/>
      <c r="H72" s="18"/>
      <c r="I72" s="18"/>
      <c r="J72" s="18"/>
      <c r="K72" s="18"/>
      <c r="L72" s="18"/>
      <c r="M72" s="18"/>
      <c r="N72" s="18"/>
      <c r="O72" s="104"/>
    </row>
    <row r="73" spans="2:15" ht="12.75">
      <c r="B73" s="103"/>
      <c r="C73" s="35">
        <f>IF($N$23*(30/12)&gt;O10,O10,$N$23*(30/12))</f>
        <v>352.5</v>
      </c>
      <c r="D73" s="35"/>
      <c r="E73" s="35" t="s">
        <v>34</v>
      </c>
      <c r="F73" s="60">
        <f>IF($K$25&gt;$N$69,$N$69,$K$25)</f>
        <v>49.31506849315068</v>
      </c>
      <c r="G73" s="35" t="s">
        <v>7</v>
      </c>
      <c r="H73" s="35" t="s">
        <v>21</v>
      </c>
      <c r="I73" s="211">
        <f>F73*C73</f>
        <v>17383.561643835616</v>
      </c>
      <c r="J73" s="211"/>
      <c r="K73" s="211"/>
      <c r="L73" s="91" t="s">
        <v>57</v>
      </c>
      <c r="M73" s="18"/>
      <c r="N73" s="18"/>
      <c r="O73" s="104"/>
    </row>
    <row r="74" spans="2:15" ht="13.5" thickBot="1">
      <c r="B74" s="105">
        <f>IF($K$25&gt;$N$69,"Límite FOGASA: doble del SMI","")</f>
      </c>
      <c r="C74" s="9"/>
      <c r="D74" s="51"/>
      <c r="E74" s="9"/>
      <c r="F74" s="9"/>
      <c r="G74" s="92">
        <f>IF($N$23*(30/12)&gt;365,"El FOGASA no abona más de una anualidad","")</f>
      </c>
      <c r="H74" s="9"/>
      <c r="I74" s="9"/>
      <c r="J74" s="9"/>
      <c r="K74" s="9"/>
      <c r="L74" s="9"/>
      <c r="M74" s="9"/>
      <c r="N74" s="9"/>
      <c r="O74" s="106"/>
    </row>
    <row r="75" spans="2:15" ht="6.75" customHeight="1" thickBot="1">
      <c r="B75" s="103"/>
      <c r="C75" s="18"/>
      <c r="D75" s="18"/>
      <c r="E75" s="18"/>
      <c r="F75" s="18"/>
      <c r="G75" s="18"/>
      <c r="H75" s="18"/>
      <c r="I75" s="18"/>
      <c r="J75" s="18"/>
      <c r="K75" s="18"/>
      <c r="L75" s="18"/>
      <c r="M75" s="18"/>
      <c r="N75" s="18"/>
      <c r="O75" s="104"/>
    </row>
    <row r="76" spans="2:15" ht="12.75">
      <c r="B76" s="101" t="s">
        <v>23</v>
      </c>
      <c r="C76" s="12"/>
      <c r="D76" s="3"/>
      <c r="E76" s="3"/>
      <c r="F76" s="3"/>
      <c r="G76" s="3"/>
      <c r="H76" s="3"/>
      <c r="I76" s="3"/>
      <c r="J76" s="3"/>
      <c r="K76" s="3"/>
      <c r="L76" s="3"/>
      <c r="M76" s="3"/>
      <c r="N76" s="3"/>
      <c r="O76" s="102"/>
    </row>
    <row r="77" spans="2:15" ht="7.5" customHeight="1">
      <c r="B77" s="103"/>
      <c r="C77" s="18"/>
      <c r="D77" s="18"/>
      <c r="E77" s="18"/>
      <c r="F77" s="18"/>
      <c r="G77" s="18"/>
      <c r="H77" s="18"/>
      <c r="I77" s="18"/>
      <c r="J77" s="18"/>
      <c r="K77" s="18"/>
      <c r="L77" s="18"/>
      <c r="M77" s="18"/>
      <c r="N77" s="18"/>
      <c r="O77" s="104"/>
    </row>
    <row r="78" spans="2:15" ht="12" customHeight="1">
      <c r="B78" s="103"/>
      <c r="C78" s="60">
        <f>G30</f>
        <v>235</v>
      </c>
      <c r="D78" s="35"/>
      <c r="E78" s="35" t="s">
        <v>34</v>
      </c>
      <c r="F78" s="60">
        <f>F73</f>
        <v>49.31506849315068</v>
      </c>
      <c r="G78" s="35" t="s">
        <v>7</v>
      </c>
      <c r="H78" s="35" t="s">
        <v>21</v>
      </c>
      <c r="I78" s="211">
        <f>F78*C78</f>
        <v>11589.04109589041</v>
      </c>
      <c r="J78" s="211"/>
      <c r="K78" s="211"/>
      <c r="L78" s="91" t="s">
        <v>57</v>
      </c>
      <c r="M78" s="18"/>
      <c r="N78" s="18"/>
      <c r="O78" s="104"/>
    </row>
    <row r="79" spans="2:17" ht="13.5" thickBot="1">
      <c r="B79" s="105">
        <f>B74</f>
      </c>
      <c r="C79" s="9"/>
      <c r="D79" s="51"/>
      <c r="E79" s="9"/>
      <c r="F79" s="9"/>
      <c r="G79" s="92"/>
      <c r="H79" s="9"/>
      <c r="I79" s="9"/>
      <c r="J79" s="9"/>
      <c r="K79" s="9"/>
      <c r="L79" s="9"/>
      <c r="M79" s="9"/>
      <c r="N79" s="9"/>
      <c r="O79" s="106"/>
      <c r="Q79" s="63"/>
    </row>
    <row r="80" spans="2:17" ht="8.25" customHeight="1" thickBot="1">
      <c r="B80" s="107"/>
      <c r="C80" s="18"/>
      <c r="D80" s="99"/>
      <c r="E80" s="18"/>
      <c r="F80" s="18"/>
      <c r="G80" s="100"/>
      <c r="H80" s="18"/>
      <c r="I80" s="18"/>
      <c r="J80" s="18"/>
      <c r="K80" s="18"/>
      <c r="L80" s="18"/>
      <c r="M80" s="18"/>
      <c r="N80" s="18"/>
      <c r="O80" s="104"/>
      <c r="Q80" s="63"/>
    </row>
    <row r="81" spans="2:17" ht="12.75">
      <c r="B81" s="101" t="s">
        <v>61</v>
      </c>
      <c r="C81" s="3"/>
      <c r="D81" s="3"/>
      <c r="E81" s="3"/>
      <c r="F81" s="3"/>
      <c r="G81" s="3"/>
      <c r="H81" s="3"/>
      <c r="I81" s="3"/>
      <c r="J81" s="3"/>
      <c r="K81" s="3"/>
      <c r="L81" s="3"/>
      <c r="M81" s="3"/>
      <c r="N81" s="3"/>
      <c r="O81" s="102"/>
      <c r="Q81" s="63"/>
    </row>
    <row r="82" spans="2:17" ht="6.75" customHeight="1">
      <c r="B82" s="103"/>
      <c r="C82" s="18"/>
      <c r="D82" s="18"/>
      <c r="E82" s="18"/>
      <c r="F82" s="18"/>
      <c r="G82" s="18"/>
      <c r="H82" s="18"/>
      <c r="I82" s="18"/>
      <c r="J82" s="18"/>
      <c r="K82" s="18"/>
      <c r="L82" s="18"/>
      <c r="M82" s="18"/>
      <c r="N82" s="18"/>
      <c r="O82" s="104"/>
      <c r="Q82" s="63"/>
    </row>
    <row r="83" spans="2:17" ht="12.75">
      <c r="B83" s="103"/>
      <c r="D83" s="40" t="s">
        <v>101</v>
      </c>
      <c r="E83" s="249">
        <v>3000</v>
      </c>
      <c r="F83" s="249"/>
      <c r="G83" s="18"/>
      <c r="H83" s="145">
        <f>IF((E83/K25)&gt;120,120,E83/K25)</f>
        <v>60.833333333333336</v>
      </c>
      <c r="I83" s="18" t="s">
        <v>1</v>
      </c>
      <c r="J83" s="18" t="s">
        <v>20</v>
      </c>
      <c r="K83" s="145">
        <f>F73</f>
        <v>49.31506849315068</v>
      </c>
      <c r="L83" s="18" t="s">
        <v>7</v>
      </c>
      <c r="M83" s="18" t="s">
        <v>21</v>
      </c>
      <c r="N83" s="239">
        <f>K83*H83</f>
        <v>3000</v>
      </c>
      <c r="O83" s="240"/>
      <c r="Q83" s="63"/>
    </row>
    <row r="84" spans="2:17" ht="12.75">
      <c r="B84" s="103"/>
      <c r="C84" s="48"/>
      <c r="D84" s="18"/>
      <c r="E84" s="248"/>
      <c r="F84" s="248"/>
      <c r="G84" s="18"/>
      <c r="N84" s="239"/>
      <c r="O84" s="240"/>
      <c r="Q84" s="63"/>
    </row>
    <row r="85" spans="2:17" ht="13.5" thickBot="1">
      <c r="B85" s="159">
        <f>B74</f>
      </c>
      <c r="C85" s="160"/>
      <c r="D85" s="160"/>
      <c r="E85" s="160"/>
      <c r="F85" s="160"/>
      <c r="G85" s="161">
        <f>IF((E83/K25)&gt;120,"El FOGASA no abona más de 120 días","")</f>
      </c>
      <c r="H85" s="160"/>
      <c r="I85" s="160"/>
      <c r="J85" s="160"/>
      <c r="K85" s="160"/>
      <c r="L85" s="160"/>
      <c r="M85" s="160"/>
      <c r="N85" s="250"/>
      <c r="O85" s="251"/>
      <c r="Q85" s="63"/>
    </row>
    <row r="86" ht="9" customHeight="1" thickBot="1" thickTop="1"/>
    <row r="87" spans="2:15" ht="12.75">
      <c r="B87" s="2" t="s">
        <v>29</v>
      </c>
      <c r="C87" s="3"/>
      <c r="D87" s="3"/>
      <c r="E87" s="3"/>
      <c r="F87" s="3"/>
      <c r="G87" s="3"/>
      <c r="H87" s="3"/>
      <c r="I87" s="3"/>
      <c r="J87" s="3"/>
      <c r="K87" s="3"/>
      <c r="L87" s="3"/>
      <c r="M87" s="3"/>
      <c r="N87" s="3"/>
      <c r="O87" s="4"/>
    </row>
    <row r="88" spans="2:15" ht="5.25" customHeight="1">
      <c r="B88" s="15"/>
      <c r="C88" s="18"/>
      <c r="D88" s="18"/>
      <c r="E88" s="18"/>
      <c r="F88" s="18"/>
      <c r="G88" s="18"/>
      <c r="H88" s="18"/>
      <c r="I88" s="18"/>
      <c r="J88" s="18"/>
      <c r="K88" s="18"/>
      <c r="L88" s="18"/>
      <c r="M88" s="18"/>
      <c r="N88" s="18"/>
      <c r="O88" s="17"/>
    </row>
    <row r="89" spans="2:15" ht="12.75">
      <c r="B89" s="15"/>
      <c r="C89" s="40" t="s">
        <v>36</v>
      </c>
      <c r="D89" s="18"/>
      <c r="E89" s="248">
        <f>C8</f>
        <v>44701</v>
      </c>
      <c r="F89" s="248"/>
      <c r="G89" s="18"/>
      <c r="H89" s="18"/>
      <c r="I89" s="18"/>
      <c r="J89" s="18"/>
      <c r="K89" s="18"/>
      <c r="L89" s="18"/>
      <c r="M89" s="18"/>
      <c r="N89" s="18"/>
      <c r="O89" s="17"/>
    </row>
    <row r="90" spans="2:15" ht="12.75">
      <c r="B90" s="15"/>
      <c r="C90" s="48" t="s">
        <v>30</v>
      </c>
      <c r="D90" s="18"/>
      <c r="E90" s="248">
        <f>C9</f>
        <v>44701</v>
      </c>
      <c r="F90" s="248"/>
      <c r="G90" s="18"/>
      <c r="H90" s="18">
        <f>E90-E89</f>
        <v>0</v>
      </c>
      <c r="I90" s="18" t="s">
        <v>1</v>
      </c>
      <c r="J90" s="18" t="s">
        <v>20</v>
      </c>
      <c r="K90" s="18">
        <f>K25</f>
        <v>49.31506849315068</v>
      </c>
      <c r="L90" s="18" t="s">
        <v>7</v>
      </c>
      <c r="M90" s="18" t="s">
        <v>21</v>
      </c>
      <c r="N90" s="239">
        <f>K90*H90</f>
        <v>0</v>
      </c>
      <c r="O90" s="242"/>
    </row>
    <row r="91" spans="2:15" ht="12.75">
      <c r="B91" s="15"/>
      <c r="C91" s="18"/>
      <c r="D91" s="18"/>
      <c r="E91" s="18"/>
      <c r="F91" s="18"/>
      <c r="G91" s="18"/>
      <c r="H91" s="18"/>
      <c r="I91" s="18"/>
      <c r="J91" s="18"/>
      <c r="K91" s="18" t="s">
        <v>31</v>
      </c>
      <c r="L91" s="18"/>
      <c r="M91" s="18" t="s">
        <v>21</v>
      </c>
      <c r="N91" s="239">
        <f>N90*(4.7+1.55+0.1)%</f>
        <v>0</v>
      </c>
      <c r="O91" s="242"/>
    </row>
    <row r="92" spans="2:15" ht="12.75">
      <c r="B92" s="15"/>
      <c r="C92" s="18"/>
      <c r="D92" s="18"/>
      <c r="E92" s="18"/>
      <c r="F92" s="18"/>
      <c r="G92" s="18"/>
      <c r="H92" s="48" t="s">
        <v>2</v>
      </c>
      <c r="I92" s="243">
        <v>0.02</v>
      </c>
      <c r="J92" s="243"/>
      <c r="K92" s="18" t="s">
        <v>32</v>
      </c>
      <c r="L92" s="18"/>
      <c r="M92" s="18" t="s">
        <v>21</v>
      </c>
      <c r="N92" s="239">
        <f>N90*I92</f>
        <v>0</v>
      </c>
      <c r="O92" s="242"/>
    </row>
    <row r="93" spans="2:15" ht="12.75">
      <c r="B93" s="15"/>
      <c r="C93" s="18"/>
      <c r="D93" s="18"/>
      <c r="E93" s="18"/>
      <c r="F93" s="18"/>
      <c r="G93" s="18"/>
      <c r="H93" s="18"/>
      <c r="I93" s="18"/>
      <c r="J93" s="18"/>
      <c r="K93" s="49" t="s">
        <v>33</v>
      </c>
      <c r="L93" s="50"/>
      <c r="M93" s="50"/>
      <c r="N93" s="244">
        <f>N90-N91-N92</f>
        <v>0</v>
      </c>
      <c r="O93" s="245"/>
    </row>
    <row r="94" spans="2:15" ht="3" customHeight="1" thickBot="1">
      <c r="B94" s="24"/>
      <c r="C94" s="9"/>
      <c r="D94" s="9"/>
      <c r="E94" s="9"/>
      <c r="F94" s="9"/>
      <c r="G94" s="9"/>
      <c r="H94" s="9"/>
      <c r="I94" s="9"/>
      <c r="J94" s="9"/>
      <c r="K94" s="9"/>
      <c r="L94" s="9"/>
      <c r="M94" s="9"/>
      <c r="N94" s="9"/>
      <c r="O94" s="26"/>
    </row>
    <row r="95" ht="11.25" customHeight="1" thickBot="1"/>
    <row r="96" spans="2:15" ht="13.5" thickBot="1">
      <c r="B96" s="234" t="s">
        <v>87</v>
      </c>
      <c r="C96" s="235"/>
      <c r="D96" s="235"/>
      <c r="E96" s="235"/>
      <c r="F96" s="235"/>
      <c r="G96" s="235"/>
      <c r="H96" s="235"/>
      <c r="I96" s="235"/>
      <c r="J96" s="235"/>
      <c r="K96" s="235"/>
      <c r="L96" s="235"/>
      <c r="M96" s="235"/>
      <c r="N96" s="235"/>
      <c r="O96" s="236"/>
    </row>
    <row r="97" spans="2:15" ht="6" customHeight="1" thickTop="1">
      <c r="B97" s="15"/>
      <c r="C97" s="18"/>
      <c r="D97" s="18"/>
      <c r="E97" s="18"/>
      <c r="F97" s="18"/>
      <c r="G97" s="18"/>
      <c r="H97" s="18"/>
      <c r="I97" s="151">
        <f>IF(B49&gt;900,300,IF(B49&gt;720,240,IF(B49&gt;540,180,IF(B49&gt;360,120,0))))</f>
        <v>300</v>
      </c>
      <c r="J97" s="18"/>
      <c r="K97" s="18"/>
      <c r="L97" s="18"/>
      <c r="M97" s="18"/>
      <c r="N97" s="18"/>
      <c r="O97" s="17"/>
    </row>
    <row r="98" spans="2:15" ht="12.75">
      <c r="B98" s="169" t="s">
        <v>79</v>
      </c>
      <c r="C98" s="71">
        <f>600*14/12</f>
        <v>700</v>
      </c>
      <c r="D98" s="18"/>
      <c r="E98" s="18"/>
      <c r="F98" s="170" t="s">
        <v>85</v>
      </c>
      <c r="G98" s="35"/>
      <c r="H98" s="35"/>
      <c r="I98" s="170">
        <f>IF(B49&gt;2160,720,IF(B49&gt;1980,660,IF(B49&gt;1620,600,IF(B49&gt;1440,480,IF(B49&gt;1260,420,IF(B49&gt;1080,360,IF(B49&gt;900,300,I97)))))))</f>
        <v>720</v>
      </c>
      <c r="J98" s="18"/>
      <c r="K98" s="18"/>
      <c r="L98" s="171" t="s">
        <v>80</v>
      </c>
      <c r="M98" s="171"/>
      <c r="N98" s="237">
        <f>IF(D101=0,C98*175%,IF(D101=1,C98*200%,IF(D101&gt;=2,C98*225%,"ERROR")))</f>
        <v>1225</v>
      </c>
      <c r="O98" s="238"/>
    </row>
    <row r="99" spans="2:15" ht="15" customHeight="1">
      <c r="B99" s="169" t="s">
        <v>89</v>
      </c>
      <c r="C99" s="71">
        <f>K25*O10/12</f>
        <v>1500</v>
      </c>
      <c r="D99" s="18"/>
      <c r="E99" s="18"/>
      <c r="F99" s="18"/>
      <c r="G99" s="18"/>
      <c r="H99" s="18"/>
      <c r="I99" s="18"/>
      <c r="J99" s="18"/>
      <c r="K99" s="18"/>
      <c r="L99" s="171" t="s">
        <v>81</v>
      </c>
      <c r="M99" s="171"/>
      <c r="N99" s="237">
        <f>IF(D101=0,C98*80%,C98*107%)</f>
        <v>560</v>
      </c>
      <c r="O99" s="238"/>
    </row>
    <row r="100" spans="2:15" ht="4.5" customHeight="1" thickBot="1">
      <c r="B100" s="15"/>
      <c r="C100" s="18"/>
      <c r="D100" s="18"/>
      <c r="E100" s="18"/>
      <c r="F100" s="18"/>
      <c r="G100" s="18"/>
      <c r="H100" s="18"/>
      <c r="I100" s="18"/>
      <c r="J100" s="18"/>
      <c r="K100" s="18"/>
      <c r="L100" s="18"/>
      <c r="M100" s="18"/>
      <c r="N100" s="18"/>
      <c r="O100" s="17"/>
    </row>
    <row r="101" spans="2:15" ht="13.5" thickBot="1">
      <c r="B101" s="15"/>
      <c r="C101" s="172" t="s">
        <v>88</v>
      </c>
      <c r="D101" s="177">
        <v>0</v>
      </c>
      <c r="E101" s="18"/>
      <c r="F101" s="18"/>
      <c r="G101" s="18"/>
      <c r="H101" s="18"/>
      <c r="I101" s="18"/>
      <c r="J101" s="18"/>
      <c r="K101" s="173" t="s">
        <v>82</v>
      </c>
      <c r="L101" s="174"/>
      <c r="M101" s="175"/>
      <c r="N101" s="175"/>
      <c r="O101" s="176"/>
    </row>
    <row r="102" spans="2:15" ht="13.5" thickTop="1">
      <c r="B102" s="15"/>
      <c r="C102" s="18"/>
      <c r="D102" s="18"/>
      <c r="E102" s="18"/>
      <c r="F102" s="18"/>
      <c r="G102" s="18"/>
      <c r="H102" s="18"/>
      <c r="I102" s="18"/>
      <c r="J102" s="167">
        <f>(N102/30)*180</f>
        <v>6300</v>
      </c>
      <c r="K102" s="15" t="s">
        <v>83</v>
      </c>
      <c r="L102" s="18"/>
      <c r="M102" s="18"/>
      <c r="N102" s="211">
        <f>IF(C99*70%&gt;N98,N98,IF(C99*70%&lt;N99,N99,C99*70%))</f>
        <v>1050</v>
      </c>
      <c r="O102" s="212"/>
    </row>
    <row r="103" spans="2:15" ht="12.75">
      <c r="B103" s="15"/>
      <c r="C103" s="18"/>
      <c r="D103" s="18"/>
      <c r="E103" s="18"/>
      <c r="F103" s="18"/>
      <c r="G103" s="18"/>
      <c r="H103" s="18"/>
      <c r="I103" s="18"/>
      <c r="J103" s="168">
        <f>(N103/30)*(I98-180)</f>
        <v>13500</v>
      </c>
      <c r="K103" s="15" t="s">
        <v>84</v>
      </c>
      <c r="L103" s="18"/>
      <c r="M103" s="18"/>
      <c r="N103" s="211">
        <f>IF(C99*50%&gt;N98,N98,IF(C99*50%&lt;N99,N99,C99*50%))</f>
        <v>750</v>
      </c>
      <c r="O103" s="212"/>
    </row>
    <row r="104" spans="2:15" ht="13.5" thickBot="1">
      <c r="B104" s="15"/>
      <c r="C104" s="18"/>
      <c r="D104" s="18"/>
      <c r="E104" s="18"/>
      <c r="F104" s="18"/>
      <c r="G104" s="18"/>
      <c r="H104" s="18"/>
      <c r="I104" s="18"/>
      <c r="J104" s="18"/>
      <c r="K104" s="24" t="s">
        <v>86</v>
      </c>
      <c r="L104" s="9"/>
      <c r="M104" s="9"/>
      <c r="N104" s="218">
        <f>J102+J103</f>
        <v>19800</v>
      </c>
      <c r="O104" s="219"/>
    </row>
    <row r="105" spans="2:15" ht="2.25" customHeight="1" thickBot="1">
      <c r="B105" s="24"/>
      <c r="C105" s="9"/>
      <c r="D105" s="9"/>
      <c r="E105" s="9"/>
      <c r="F105" s="9"/>
      <c r="G105" s="9"/>
      <c r="H105" s="9"/>
      <c r="I105" s="9"/>
      <c r="J105" s="9"/>
      <c r="K105" s="9"/>
      <c r="L105" s="9"/>
      <c r="M105" s="9"/>
      <c r="N105" s="9"/>
      <c r="O105" s="26"/>
    </row>
    <row r="106" ht="12.75"/>
    <row r="107" ht="12.75"/>
    <row r="108" spans="2:6" ht="12.75">
      <c r="B108" s="192" t="s">
        <v>100</v>
      </c>
      <c r="C108" s="192" t="s">
        <v>99</v>
      </c>
      <c r="D108" s="190"/>
      <c r="E108" s="190"/>
      <c r="F108" s="190" t="s">
        <v>102</v>
      </c>
    </row>
    <row r="109" spans="2:6" ht="12.75">
      <c r="B109" s="191">
        <v>2016</v>
      </c>
      <c r="C109" s="199">
        <v>21.84</v>
      </c>
      <c r="F109" s="200">
        <f aca="true" t="shared" si="0" ref="F109:F114">ROUND(((C109*(365+60))/365)*2,2)</f>
        <v>50.86</v>
      </c>
    </row>
    <row r="110" spans="2:6" ht="12.75">
      <c r="B110" s="191">
        <v>2017</v>
      </c>
      <c r="C110" s="199">
        <v>23.59</v>
      </c>
      <c r="F110" s="200">
        <f t="shared" si="0"/>
        <v>54.94</v>
      </c>
    </row>
    <row r="111" spans="1:6" ht="15">
      <c r="A111" s="52"/>
      <c r="B111" s="191">
        <v>2018</v>
      </c>
      <c r="C111" s="199">
        <v>24.53</v>
      </c>
      <c r="F111" s="200">
        <f t="shared" si="0"/>
        <v>57.12</v>
      </c>
    </row>
    <row r="112" spans="1:6" ht="15">
      <c r="A112" s="52"/>
      <c r="B112" s="191">
        <v>2019</v>
      </c>
      <c r="C112" s="199">
        <f>ROUND(900/30,2)</f>
        <v>30</v>
      </c>
      <c r="F112" s="200">
        <f t="shared" si="0"/>
        <v>69.86</v>
      </c>
    </row>
    <row r="113" spans="1:8" ht="15">
      <c r="A113" s="52"/>
      <c r="B113" s="191">
        <v>2020</v>
      </c>
      <c r="C113" s="201">
        <f>ROUND(950/30,2)</f>
        <v>31.67</v>
      </c>
      <c r="F113" s="200">
        <f t="shared" si="0"/>
        <v>73.75</v>
      </c>
      <c r="H113" s="1" t="s">
        <v>104</v>
      </c>
    </row>
    <row r="114" spans="1:8" ht="15">
      <c r="A114" s="52"/>
      <c r="B114" s="191">
        <v>2021</v>
      </c>
      <c r="C114" s="201">
        <f>ROUND(965/30,2)</f>
        <v>32.17</v>
      </c>
      <c r="F114" s="200">
        <f t="shared" si="0"/>
        <v>74.92</v>
      </c>
      <c r="H114" s="1" t="s">
        <v>103</v>
      </c>
    </row>
    <row r="115" spans="1:6" ht="15">
      <c r="A115" s="52"/>
      <c r="B115" s="191">
        <v>2022</v>
      </c>
      <c r="C115" s="201">
        <f>ROUND(1000/30,2)</f>
        <v>33.33</v>
      </c>
      <c r="F115" s="200">
        <f aca="true" t="shared" si="1" ref="F115:F120">ROUND(((C115*(365+60))/365)*2,2)</f>
        <v>77.62</v>
      </c>
    </row>
    <row r="116" spans="1:6" ht="15">
      <c r="A116" s="52"/>
      <c r="B116" s="191">
        <v>2023</v>
      </c>
      <c r="C116" s="71">
        <f>ROUND(1080/30,2)</f>
        <v>36</v>
      </c>
      <c r="F116" s="200">
        <f t="shared" si="1"/>
        <v>83.84</v>
      </c>
    </row>
    <row r="117" spans="1:6" ht="15">
      <c r="A117" s="52"/>
      <c r="B117" s="191">
        <v>2024</v>
      </c>
      <c r="C117" s="71"/>
      <c r="F117" s="200">
        <f t="shared" si="1"/>
        <v>0</v>
      </c>
    </row>
    <row r="118" spans="1:6" ht="15">
      <c r="A118" s="52"/>
      <c r="B118" s="191">
        <v>2025</v>
      </c>
      <c r="C118" s="71"/>
      <c r="F118" s="200">
        <f t="shared" si="1"/>
        <v>0</v>
      </c>
    </row>
    <row r="119" spans="1:6" ht="15">
      <c r="A119" s="52"/>
      <c r="B119" s="191">
        <v>2026</v>
      </c>
      <c r="C119" s="71"/>
      <c r="F119" s="200">
        <f t="shared" si="1"/>
        <v>0</v>
      </c>
    </row>
    <row r="120" spans="1:6" ht="15">
      <c r="A120" s="52"/>
      <c r="B120" s="193">
        <v>2027</v>
      </c>
      <c r="C120" s="71"/>
      <c r="F120" s="200">
        <f t="shared" si="1"/>
        <v>0</v>
      </c>
    </row>
    <row r="121" ht="15">
      <c r="A121" s="52"/>
    </row>
    <row r="122" ht="15">
      <c r="A122" s="52"/>
    </row>
    <row r="123" ht="15">
      <c r="A123" s="52"/>
    </row>
    <row r="124" ht="15">
      <c r="A124" s="52"/>
    </row>
    <row r="125" ht="15">
      <c r="A125" s="52"/>
    </row>
    <row r="126" ht="15">
      <c r="A126" s="52"/>
    </row>
    <row r="127" ht="15">
      <c r="A127" s="52"/>
    </row>
    <row r="128" ht="15">
      <c r="A128" s="52"/>
    </row>
    <row r="129" ht="15">
      <c r="A129" s="53"/>
    </row>
    <row r="130" ht="15">
      <c r="A130" s="53"/>
    </row>
  </sheetData>
  <sheetProtection password="B8E7" sheet="1" selectLockedCells="1"/>
  <mergeCells count="54">
    <mergeCell ref="E90:F90"/>
    <mergeCell ref="E84:F84"/>
    <mergeCell ref="E83:F83"/>
    <mergeCell ref="B28:O28"/>
    <mergeCell ref="B37:O37"/>
    <mergeCell ref="B42:O42"/>
    <mergeCell ref="E89:F89"/>
    <mergeCell ref="N45:O45"/>
    <mergeCell ref="N84:O84"/>
    <mergeCell ref="N85:O85"/>
    <mergeCell ref="N93:O93"/>
    <mergeCell ref="G8:K8"/>
    <mergeCell ref="N25:O25"/>
    <mergeCell ref="N99:O99"/>
    <mergeCell ref="N102:O102"/>
    <mergeCell ref="N103:O103"/>
    <mergeCell ref="N60:O60"/>
    <mergeCell ref="N91:O91"/>
    <mergeCell ref="N92:O92"/>
    <mergeCell ref="I78:K78"/>
    <mergeCell ref="N104:O104"/>
    <mergeCell ref="B96:O96"/>
    <mergeCell ref="N98:O98"/>
    <mergeCell ref="N83:O83"/>
    <mergeCell ref="I73:K73"/>
    <mergeCell ref="C4:L4"/>
    <mergeCell ref="N90:O90"/>
    <mergeCell ref="I92:J92"/>
    <mergeCell ref="N30:O30"/>
    <mergeCell ref="N35:O35"/>
    <mergeCell ref="B1:O2"/>
    <mergeCell ref="D19:F19"/>
    <mergeCell ref="K19:L19"/>
    <mergeCell ref="I19:J19"/>
    <mergeCell ref="L6:N6"/>
    <mergeCell ref="G6:K6"/>
    <mergeCell ref="G7:K7"/>
    <mergeCell ref="G9:K9"/>
    <mergeCell ref="B17:O17"/>
    <mergeCell ref="B30:D30"/>
    <mergeCell ref="N39:O39"/>
    <mergeCell ref="B39:D39"/>
    <mergeCell ref="N40:O40"/>
    <mergeCell ref="N44:O44"/>
    <mergeCell ref="N32:O32"/>
    <mergeCell ref="N65:O65"/>
    <mergeCell ref="B67:O67"/>
    <mergeCell ref="H35:I35"/>
    <mergeCell ref="B44:D44"/>
    <mergeCell ref="N49:O49"/>
    <mergeCell ref="N62:O62"/>
    <mergeCell ref="N63:O63"/>
    <mergeCell ref="B47:O47"/>
    <mergeCell ref="N50:O50"/>
  </mergeCells>
  <conditionalFormatting sqref="L9">
    <cfRule type="expression" priority="1" dxfId="0" stopIfTrue="1">
      <formula>$O$6&lt;&gt;2</formula>
    </cfRule>
    <cfRule type="expression" priority="2" dxfId="0" stopIfTrue="1">
      <formula>O6&lt;&gt;2</formula>
    </cfRule>
  </conditionalFormatting>
  <dataValidations count="2">
    <dataValidation type="list" allowBlank="1" showInputMessage="1" showErrorMessage="1" prompt="Seleccione salario anual, mensual o diario&#10;" error="Seleccione un valor de la lista" sqref="O6">
      <formula1>$Q$7:$Q$9</formula1>
    </dataValidation>
    <dataValidation type="list" allowBlank="1" showInputMessage="1" showErrorMessage="1" sqref="E69">
      <formula1>$B$109:$B$119</formula1>
    </dataValidation>
  </dataValidations>
  <hyperlinks>
    <hyperlink ref="G9" r:id="rId1" display="www.herminioduarte.com"/>
  </hyperlinks>
  <printOptions horizontalCentered="1"/>
  <pageMargins left="0.7086614173228347" right="0.7086614173228347" top="0.5511811023622047" bottom="0.7480314960629921" header="0.31496062992125984" footer="0.31496062992125984"/>
  <pageSetup fitToHeight="1" fitToWidth="1" horizontalDpi="600" verticalDpi="600" orientation="portrait" paperSize="9" scale="68" r:id="rId5"/>
  <drawing r:id="rId4"/>
  <legacyDrawing r:id="rId3"/>
</worksheet>
</file>

<file path=xl/worksheets/sheet2.xml><?xml version="1.0" encoding="utf-8"?>
<worksheet xmlns="http://schemas.openxmlformats.org/spreadsheetml/2006/main" xmlns:r="http://schemas.openxmlformats.org/officeDocument/2006/relationships">
  <sheetPr codeName="Hoja5"/>
  <dimension ref="B4:F6"/>
  <sheetViews>
    <sheetView zoomScalePageLayoutView="0" workbookViewId="0" topLeftCell="A1">
      <selection activeCell="C4" sqref="C4"/>
    </sheetView>
  </sheetViews>
  <sheetFormatPr defaultColWidth="11.421875" defaultRowHeight="12.75"/>
  <sheetData>
    <row r="4" spans="2:6" ht="12.75">
      <c r="B4">
        <v>21.84</v>
      </c>
      <c r="C4">
        <f>B4*365</f>
        <v>7971.6</v>
      </c>
      <c r="D4">
        <f>C4+B4*60</f>
        <v>9282</v>
      </c>
      <c r="E4">
        <f>D4/365</f>
        <v>25.43013698630137</v>
      </c>
      <c r="F4" s="186">
        <f>E4*2</f>
        <v>50.86027397260274</v>
      </c>
    </row>
    <row r="6" spans="2:4" ht="12.75">
      <c r="B6">
        <f>(B4*(365+60)/365)*2</f>
        <v>50.86027397260274</v>
      </c>
      <c r="D6" t="s">
        <v>97</v>
      </c>
    </row>
  </sheetData>
  <sheetProtection password="8727" sheet="1" selectLockedCells="1"/>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J520"/>
  <sheetViews>
    <sheetView showGridLines="0" zoomScalePageLayoutView="0" workbookViewId="0" topLeftCell="A1">
      <selection activeCell="C4" sqref="C4"/>
    </sheetView>
  </sheetViews>
  <sheetFormatPr defaultColWidth="11.421875" defaultRowHeight="12.75"/>
  <cols>
    <col min="1" max="1" width="5.8515625" style="0" customWidth="1"/>
    <col min="2" max="2" width="23.00390625" style="0" customWidth="1"/>
    <col min="3" max="3" width="12.7109375" style="0" bestFit="1" customWidth="1"/>
    <col min="5" max="5" width="17.421875" style="0" customWidth="1"/>
    <col min="6" max="10" width="16.140625" style="0" customWidth="1"/>
  </cols>
  <sheetData>
    <row r="1" spans="4:6" ht="26.25" customHeight="1" thickBot="1">
      <c r="D1" s="252" t="s">
        <v>53</v>
      </c>
      <c r="E1" s="252"/>
      <c r="F1" s="90" t="s">
        <v>56</v>
      </c>
    </row>
    <row r="2" spans="2:10" ht="19.5" customHeight="1" thickBot="1">
      <c r="B2" s="75" t="s">
        <v>48</v>
      </c>
      <c r="C2" s="84">
        <v>42873</v>
      </c>
      <c r="D2" s="253" t="s">
        <v>58</v>
      </c>
      <c r="E2" s="254"/>
      <c r="F2" s="78" t="s">
        <v>49</v>
      </c>
      <c r="G2" s="83">
        <v>30</v>
      </c>
      <c r="H2" s="165"/>
      <c r="I2" s="73"/>
      <c r="J2" s="73"/>
    </row>
    <row r="3" spans="2:10" s="74" customFormat="1" ht="58.5" customHeight="1" thickBot="1">
      <c r="B3" s="85" t="s">
        <v>46</v>
      </c>
      <c r="C3" s="86" t="s">
        <v>14</v>
      </c>
      <c r="D3" s="86" t="s">
        <v>47</v>
      </c>
      <c r="E3" s="76" t="s">
        <v>50</v>
      </c>
      <c r="F3" s="76" t="s">
        <v>51</v>
      </c>
      <c r="G3" s="76" t="s">
        <v>52</v>
      </c>
      <c r="H3" s="76" t="s">
        <v>75</v>
      </c>
      <c r="I3" s="76" t="s">
        <v>59</v>
      </c>
      <c r="J3" s="77" t="s">
        <v>60</v>
      </c>
    </row>
    <row r="4" spans="2:10" ht="15.75" customHeight="1">
      <c r="B4" s="82"/>
      <c r="C4" s="80"/>
      <c r="D4" s="81"/>
      <c r="E4" s="64"/>
      <c r="F4" s="64"/>
      <c r="G4" s="64"/>
      <c r="H4" s="64"/>
      <c r="I4" s="64"/>
      <c r="J4" s="64"/>
    </row>
    <row r="5" spans="2:10" ht="15.75" customHeight="1">
      <c r="B5" s="82"/>
      <c r="C5" s="80"/>
      <c r="D5" s="81"/>
      <c r="E5" s="87"/>
      <c r="F5" s="87"/>
      <c r="G5" s="87"/>
      <c r="H5" s="87"/>
      <c r="I5" s="87"/>
      <c r="J5" s="87"/>
    </row>
    <row r="6" spans="2:4" ht="15.75" customHeight="1">
      <c r="B6" s="82"/>
      <c r="C6" s="95"/>
      <c r="D6" s="81"/>
    </row>
    <row r="7" spans="2:4" ht="15.75" customHeight="1">
      <c r="B7" s="82"/>
      <c r="C7" s="80"/>
      <c r="D7" s="81"/>
    </row>
    <row r="8" spans="2:4" ht="15.75" customHeight="1">
      <c r="B8" s="82"/>
      <c r="C8" s="80"/>
      <c r="D8" s="81"/>
    </row>
    <row r="9" spans="2:4" ht="15.75" customHeight="1">
      <c r="B9" s="82"/>
      <c r="C9" s="80"/>
      <c r="D9" s="81"/>
    </row>
    <row r="10" spans="2:4" ht="15.75" customHeight="1">
      <c r="B10" s="79"/>
      <c r="C10" s="80"/>
      <c r="D10" s="81"/>
    </row>
    <row r="11" spans="2:4" ht="15.75" customHeight="1">
      <c r="B11" s="82"/>
      <c r="C11" s="80"/>
      <c r="D11" s="81"/>
    </row>
    <row r="12" spans="2:4" ht="15.75" customHeight="1">
      <c r="B12" s="82"/>
      <c r="C12" s="80"/>
      <c r="D12" s="81"/>
    </row>
    <row r="13" spans="2:4" ht="15.75" customHeight="1">
      <c r="B13" s="79"/>
      <c r="C13" s="80"/>
      <c r="D13" s="81"/>
    </row>
    <row r="14" spans="2:4" ht="15.75" customHeight="1">
      <c r="B14" s="79"/>
      <c r="C14" s="80"/>
      <c r="D14" s="81"/>
    </row>
    <row r="15" spans="2:4" ht="15.75" customHeight="1">
      <c r="B15" s="82"/>
      <c r="C15" s="80"/>
      <c r="D15" s="81"/>
    </row>
    <row r="16" spans="2:4" ht="15.75" customHeight="1">
      <c r="B16" s="82"/>
      <c r="C16" s="80"/>
      <c r="D16" s="81"/>
    </row>
    <row r="17" spans="2:4" ht="15.75" customHeight="1">
      <c r="B17" s="79"/>
      <c r="C17" s="80"/>
      <c r="D17" s="81"/>
    </row>
    <row r="18" spans="2:4" ht="15.75" customHeight="1">
      <c r="B18" s="82"/>
      <c r="C18" s="80"/>
      <c r="D18" s="81"/>
    </row>
    <row r="19" spans="2:4" ht="15.75" customHeight="1">
      <c r="B19" s="82"/>
      <c r="C19" s="80"/>
      <c r="D19" s="81"/>
    </row>
    <row r="20" spans="2:4" ht="15.75" customHeight="1">
      <c r="B20" s="79"/>
      <c r="C20" s="80"/>
      <c r="D20" s="81"/>
    </row>
    <row r="21" spans="2:4" ht="15.75" customHeight="1">
      <c r="B21" s="82"/>
      <c r="C21" s="80"/>
      <c r="D21" s="81"/>
    </row>
    <row r="22" spans="2:4" ht="15.75" customHeight="1">
      <c r="B22" s="82"/>
      <c r="C22" s="80"/>
      <c r="D22" s="81"/>
    </row>
    <row r="23" spans="2:4" ht="15.75" customHeight="1">
      <c r="B23" s="79"/>
      <c r="C23" s="80"/>
      <c r="D23" s="81"/>
    </row>
    <row r="24" spans="2:4" ht="15.75" customHeight="1">
      <c r="B24" s="79"/>
      <c r="C24" s="80"/>
      <c r="D24" s="81"/>
    </row>
    <row r="25" spans="2:4" ht="15.75" customHeight="1">
      <c r="B25" s="82"/>
      <c r="C25" s="80"/>
      <c r="D25" s="81"/>
    </row>
    <row r="26" spans="2:4" ht="15.75" customHeight="1">
      <c r="B26" s="82"/>
      <c r="C26" s="80"/>
      <c r="D26" s="81"/>
    </row>
    <row r="27" spans="2:4" ht="15.75" customHeight="1">
      <c r="B27" s="79"/>
      <c r="C27" s="80"/>
      <c r="D27" s="81"/>
    </row>
    <row r="28" spans="2:4" ht="15.75" customHeight="1">
      <c r="B28" s="82"/>
      <c r="C28" s="80"/>
      <c r="D28" s="81"/>
    </row>
    <row r="29" spans="2:4" ht="15.75" customHeight="1">
      <c r="B29" s="82"/>
      <c r="C29" s="80"/>
      <c r="D29" s="81"/>
    </row>
    <row r="30" spans="2:4" ht="15.75" customHeight="1">
      <c r="B30" s="79"/>
      <c r="C30" s="80"/>
      <c r="D30" s="81"/>
    </row>
    <row r="31" spans="2:4" ht="15.75" customHeight="1">
      <c r="B31" s="79"/>
      <c r="C31" s="79"/>
      <c r="D31" s="79"/>
    </row>
    <row r="32" spans="2:4" ht="15.75" customHeight="1">
      <c r="B32" s="79"/>
      <c r="C32" s="79"/>
      <c r="D32" s="79"/>
    </row>
    <row r="33" spans="2:4" ht="15.75" customHeight="1">
      <c r="B33" s="79"/>
      <c r="C33" s="79"/>
      <c r="D33" s="79"/>
    </row>
    <row r="34" spans="2:4" ht="15.75" customHeight="1">
      <c r="B34" s="79"/>
      <c r="C34" s="79"/>
      <c r="D34" s="79"/>
    </row>
    <row r="35" spans="2:4" ht="15.75" customHeight="1">
      <c r="B35" s="79"/>
      <c r="C35" s="79"/>
      <c r="D35" s="79"/>
    </row>
    <row r="36" spans="2:4" ht="15.75" customHeight="1">
      <c r="B36" s="79"/>
      <c r="C36" s="79"/>
      <c r="D36" s="79"/>
    </row>
    <row r="37" spans="2:4" ht="15.75" customHeight="1">
      <c r="B37" s="79"/>
      <c r="C37" s="79"/>
      <c r="D37" s="79"/>
    </row>
    <row r="38" spans="2:4" ht="15.75" customHeight="1">
      <c r="B38" s="79"/>
      <c r="C38" s="79"/>
      <c r="D38" s="79"/>
    </row>
    <row r="39" spans="2:4" ht="15.75" customHeight="1">
      <c r="B39" s="79"/>
      <c r="C39" s="79"/>
      <c r="D39" s="79"/>
    </row>
    <row r="40" spans="2:4" ht="15.75" customHeight="1">
      <c r="B40" s="79"/>
      <c r="C40" s="79"/>
      <c r="D40" s="79"/>
    </row>
    <row r="41" spans="2:4" ht="15.75" customHeight="1">
      <c r="B41" s="79"/>
      <c r="C41" s="79"/>
      <c r="D41" s="79"/>
    </row>
    <row r="42" spans="2:4" ht="15.75" customHeight="1">
      <c r="B42" s="79"/>
      <c r="C42" s="79"/>
      <c r="D42" s="79"/>
    </row>
    <row r="43" spans="2:4" ht="15.75" customHeight="1">
      <c r="B43" s="79"/>
      <c r="C43" s="79"/>
      <c r="D43" s="79"/>
    </row>
    <row r="44" spans="2:4" ht="15.75" customHeight="1">
      <c r="B44" s="79"/>
      <c r="C44" s="79"/>
      <c r="D44" s="79"/>
    </row>
    <row r="45" spans="2:4" ht="15.75" customHeight="1">
      <c r="B45" s="79"/>
      <c r="C45" s="79"/>
      <c r="D45" s="79"/>
    </row>
    <row r="46" spans="2:4" ht="15.75" customHeight="1">
      <c r="B46" s="79"/>
      <c r="C46" s="79"/>
      <c r="D46" s="79"/>
    </row>
    <row r="47" spans="2:4" ht="15.75" customHeight="1">
      <c r="B47" s="79"/>
      <c r="C47" s="79"/>
      <c r="D47" s="79"/>
    </row>
    <row r="48" spans="2:4" ht="15.75" customHeight="1">
      <c r="B48" s="79"/>
      <c r="C48" s="79"/>
      <c r="D48" s="79"/>
    </row>
    <row r="49" spans="2:4" ht="15.75" customHeight="1">
      <c r="B49" s="79"/>
      <c r="C49" s="79"/>
      <c r="D49" s="79"/>
    </row>
    <row r="50" spans="2:4" ht="15.75" customHeight="1">
      <c r="B50" s="79"/>
      <c r="C50" s="79"/>
      <c r="D50" s="79"/>
    </row>
    <row r="51" spans="2:4" ht="15.75" customHeight="1">
      <c r="B51" s="79"/>
      <c r="C51" s="79"/>
      <c r="D51" s="79"/>
    </row>
    <row r="52" spans="2:4" ht="15.75" customHeight="1">
      <c r="B52" s="79"/>
      <c r="C52" s="79"/>
      <c r="D52" s="79"/>
    </row>
    <row r="53" spans="2:4" ht="15.75" customHeight="1">
      <c r="B53" s="79"/>
      <c r="C53" s="79"/>
      <c r="D53" s="79"/>
    </row>
    <row r="54" spans="2:4" ht="15.75" customHeight="1">
      <c r="B54" s="79"/>
      <c r="C54" s="79"/>
      <c r="D54" s="79"/>
    </row>
    <row r="55" spans="2:4" ht="15.75" customHeight="1">
      <c r="B55" s="79"/>
      <c r="C55" s="79"/>
      <c r="D55" s="79"/>
    </row>
    <row r="56" spans="2:4" ht="15.75" customHeight="1">
      <c r="B56" s="79"/>
      <c r="C56" s="79"/>
      <c r="D56" s="79"/>
    </row>
    <row r="57" spans="2:4" ht="15.75" customHeight="1">
      <c r="B57" s="79"/>
      <c r="C57" s="79"/>
      <c r="D57" s="79"/>
    </row>
    <row r="58" spans="2:4" ht="15.75" customHeight="1">
      <c r="B58" s="79"/>
      <c r="C58" s="79"/>
      <c r="D58" s="79"/>
    </row>
    <row r="59" spans="2:4" ht="15.75" customHeight="1">
      <c r="B59" s="79"/>
      <c r="C59" s="79"/>
      <c r="D59" s="79"/>
    </row>
    <row r="60" spans="2:4" ht="15.75" customHeight="1">
      <c r="B60" s="79"/>
      <c r="C60" s="79"/>
      <c r="D60" s="79"/>
    </row>
    <row r="61" spans="2:4" ht="15.75" customHeight="1">
      <c r="B61" s="79"/>
      <c r="C61" s="79"/>
      <c r="D61" s="79"/>
    </row>
    <row r="62" spans="2:4" ht="15.75" customHeight="1">
      <c r="B62" s="79"/>
      <c r="C62" s="79"/>
      <c r="D62" s="79"/>
    </row>
    <row r="63" spans="2:4" ht="15.75" customHeight="1">
      <c r="B63" s="79"/>
      <c r="C63" s="79"/>
      <c r="D63" s="79"/>
    </row>
    <row r="64" spans="2:4" ht="15.75" customHeight="1">
      <c r="B64" s="79"/>
      <c r="C64" s="79"/>
      <c r="D64" s="79"/>
    </row>
    <row r="65" spans="2:4" ht="15.75" customHeight="1">
      <c r="B65" s="79"/>
      <c r="C65" s="79"/>
      <c r="D65" s="79"/>
    </row>
    <row r="66" spans="2:4" ht="15.75" customHeight="1">
      <c r="B66" s="79"/>
      <c r="C66" s="79"/>
      <c r="D66" s="79"/>
    </row>
    <row r="67" spans="2:4" ht="15.75" customHeight="1">
      <c r="B67" s="79"/>
      <c r="C67" s="79"/>
      <c r="D67" s="79"/>
    </row>
    <row r="68" spans="2:4" ht="15.75" customHeight="1">
      <c r="B68" s="79"/>
      <c r="C68" s="79"/>
      <c r="D68" s="79"/>
    </row>
    <row r="69" spans="2:4" ht="15.75" customHeight="1">
      <c r="B69" s="79"/>
      <c r="C69" s="79"/>
      <c r="D69" s="79"/>
    </row>
    <row r="70" spans="2:4" ht="15.75" customHeight="1">
      <c r="B70" s="79"/>
      <c r="C70" s="79"/>
      <c r="D70" s="79"/>
    </row>
    <row r="71" spans="2:4" ht="15.75" customHeight="1">
      <c r="B71" s="79"/>
      <c r="C71" s="79"/>
      <c r="D71" s="79"/>
    </row>
    <row r="72" spans="2:4" ht="15.75" customHeight="1">
      <c r="B72" s="79"/>
      <c r="C72" s="79"/>
      <c r="D72" s="79"/>
    </row>
    <row r="73" spans="2:4" ht="15.75" customHeight="1">
      <c r="B73" s="79"/>
      <c r="C73" s="79"/>
      <c r="D73" s="79"/>
    </row>
    <row r="74" spans="2:4" ht="15.75" customHeight="1">
      <c r="B74" s="79"/>
      <c r="C74" s="79"/>
      <c r="D74" s="79"/>
    </row>
    <row r="75" spans="2:4" ht="15.75" customHeight="1">
      <c r="B75" s="79"/>
      <c r="C75" s="79"/>
      <c r="D75" s="79"/>
    </row>
    <row r="76" spans="2:4" ht="15.75" customHeight="1">
      <c r="B76" s="79"/>
      <c r="C76" s="79"/>
      <c r="D76" s="79"/>
    </row>
    <row r="77" spans="2:4" ht="15.75" customHeight="1">
      <c r="B77" s="79"/>
      <c r="C77" s="79"/>
      <c r="D77" s="79"/>
    </row>
    <row r="78" spans="2:4" ht="15.75" customHeight="1">
      <c r="B78" s="79"/>
      <c r="C78" s="79"/>
      <c r="D78" s="79"/>
    </row>
    <row r="79" spans="2:4" ht="15.75" customHeight="1">
      <c r="B79" s="79"/>
      <c r="C79" s="79"/>
      <c r="D79" s="79"/>
    </row>
    <row r="80" spans="2:4" ht="15.75" customHeight="1">
      <c r="B80" s="79"/>
      <c r="C80" s="79"/>
      <c r="D80" s="79"/>
    </row>
    <row r="81" spans="2:4" ht="15.75" customHeight="1">
      <c r="B81" s="79"/>
      <c r="C81" s="79"/>
      <c r="D81" s="79"/>
    </row>
    <row r="82" spans="2:4" ht="15.75" customHeight="1">
      <c r="B82" s="79"/>
      <c r="C82" s="79"/>
      <c r="D82" s="79"/>
    </row>
    <row r="83" spans="2:4" ht="15.75" customHeight="1">
      <c r="B83" s="79"/>
      <c r="C83" s="79"/>
      <c r="D83" s="79"/>
    </row>
    <row r="84" spans="2:4" ht="15.75" customHeight="1">
      <c r="B84" s="79"/>
      <c r="C84" s="79"/>
      <c r="D84" s="79"/>
    </row>
    <row r="85" spans="2:4" ht="15.75" customHeight="1">
      <c r="B85" s="79"/>
      <c r="C85" s="79"/>
      <c r="D85" s="79"/>
    </row>
    <row r="86" spans="2:4" ht="15.75" customHeight="1">
      <c r="B86" s="79"/>
      <c r="C86" s="79"/>
      <c r="D86" s="79"/>
    </row>
    <row r="87" spans="2:4" ht="15.75" customHeight="1">
      <c r="B87" s="79"/>
      <c r="C87" s="79"/>
      <c r="D87" s="79"/>
    </row>
    <row r="88" spans="2:4" ht="15.75" customHeight="1">
      <c r="B88" s="79"/>
      <c r="C88" s="79"/>
      <c r="D88" s="79"/>
    </row>
    <row r="89" spans="2:4" ht="15.75" customHeight="1">
      <c r="B89" s="79"/>
      <c r="C89" s="79"/>
      <c r="D89" s="79"/>
    </row>
    <row r="90" spans="2:4" ht="15.75" customHeight="1">
      <c r="B90" s="79"/>
      <c r="C90" s="79"/>
      <c r="D90" s="79"/>
    </row>
    <row r="91" spans="2:4" ht="15.75" customHeight="1">
      <c r="B91" s="79"/>
      <c r="C91" s="79"/>
      <c r="D91" s="79"/>
    </row>
    <row r="92" spans="2:4" ht="15.75" customHeight="1">
      <c r="B92" s="79"/>
      <c r="C92" s="79"/>
      <c r="D92" s="79"/>
    </row>
    <row r="93" spans="2:4" ht="15.75" customHeight="1">
      <c r="B93" s="79"/>
      <c r="C93" s="79"/>
      <c r="D93" s="79"/>
    </row>
    <row r="94" spans="2:4" ht="15.75" customHeight="1">
      <c r="B94" s="79"/>
      <c r="C94" s="79"/>
      <c r="D94" s="79"/>
    </row>
    <row r="95" spans="2:4" ht="15.75" customHeight="1">
      <c r="B95" s="79"/>
      <c r="C95" s="79"/>
      <c r="D95" s="79"/>
    </row>
    <row r="96" spans="2:4" ht="15.75" customHeight="1">
      <c r="B96" s="79"/>
      <c r="C96" s="79"/>
      <c r="D96" s="79"/>
    </row>
    <row r="97" spans="2:4" ht="15.75" customHeight="1">
      <c r="B97" s="79"/>
      <c r="C97" s="79"/>
      <c r="D97" s="79"/>
    </row>
    <row r="98" spans="2:4" ht="15.75" customHeight="1">
      <c r="B98" s="79"/>
      <c r="C98" s="79"/>
      <c r="D98" s="79"/>
    </row>
    <row r="99" spans="2:4" ht="15.75" customHeight="1">
      <c r="B99" s="79"/>
      <c r="C99" s="79"/>
      <c r="D99" s="79"/>
    </row>
    <row r="100" spans="2:4" ht="15.75" customHeight="1">
      <c r="B100" s="79"/>
      <c r="C100" s="79"/>
      <c r="D100" s="79"/>
    </row>
    <row r="101" spans="2:4" ht="15.75" customHeight="1">
      <c r="B101" s="79"/>
      <c r="C101" s="79"/>
      <c r="D101" s="79"/>
    </row>
    <row r="102" spans="2:4" ht="15.75" customHeight="1">
      <c r="B102" s="79"/>
      <c r="C102" s="79"/>
      <c r="D102" s="79"/>
    </row>
    <row r="103" spans="2:4" ht="15.75" customHeight="1">
      <c r="B103" s="79"/>
      <c r="C103" s="79"/>
      <c r="D103" s="79"/>
    </row>
    <row r="104" spans="2:4" ht="15.75" customHeight="1">
      <c r="B104" s="79"/>
      <c r="C104" s="79"/>
      <c r="D104" s="79"/>
    </row>
    <row r="105" spans="2:4" ht="15.75" customHeight="1">
      <c r="B105" s="79"/>
      <c r="C105" s="79"/>
      <c r="D105" s="79"/>
    </row>
    <row r="106" spans="2:4" ht="15.75" customHeight="1">
      <c r="B106" s="79"/>
      <c r="C106" s="79"/>
      <c r="D106" s="79"/>
    </row>
    <row r="107" spans="2:4" ht="15.75" customHeight="1">
      <c r="B107" s="79"/>
      <c r="C107" s="79"/>
      <c r="D107" s="79"/>
    </row>
    <row r="108" spans="2:4" ht="15.75" customHeight="1">
      <c r="B108" s="79"/>
      <c r="C108" s="79"/>
      <c r="D108" s="79"/>
    </row>
    <row r="109" spans="2:4" ht="15.75" customHeight="1">
      <c r="B109" s="79"/>
      <c r="C109" s="79"/>
      <c r="D109" s="79"/>
    </row>
    <row r="110" spans="2:4" ht="15.75" customHeight="1">
      <c r="B110" s="79"/>
      <c r="C110" s="79"/>
      <c r="D110" s="79"/>
    </row>
    <row r="111" spans="2:4" ht="15.75" customHeight="1">
      <c r="B111" s="79"/>
      <c r="C111" s="79"/>
      <c r="D111" s="79"/>
    </row>
    <row r="112" spans="2:4" ht="15.75" customHeight="1">
      <c r="B112" s="79"/>
      <c r="C112" s="79"/>
      <c r="D112" s="79"/>
    </row>
    <row r="113" spans="2:4" ht="15.75" customHeight="1">
      <c r="B113" s="79"/>
      <c r="C113" s="79"/>
      <c r="D113" s="79"/>
    </row>
    <row r="114" spans="2:4" ht="15.75" customHeight="1">
      <c r="B114" s="79"/>
      <c r="C114" s="79"/>
      <c r="D114" s="79"/>
    </row>
    <row r="115" spans="2:4" ht="15.75" customHeight="1">
      <c r="B115" s="79"/>
      <c r="C115" s="79"/>
      <c r="D115" s="79"/>
    </row>
    <row r="116" spans="2:4" ht="15.75" customHeight="1">
      <c r="B116" s="79"/>
      <c r="C116" s="79"/>
      <c r="D116" s="79"/>
    </row>
    <row r="117" spans="2:4" ht="15.75" customHeight="1">
      <c r="B117" s="79"/>
      <c r="C117" s="79"/>
      <c r="D117" s="79"/>
    </row>
    <row r="118" spans="2:4" ht="15.75" customHeight="1">
      <c r="B118" s="79"/>
      <c r="C118" s="79"/>
      <c r="D118" s="79"/>
    </row>
    <row r="119" spans="2:4" ht="15.75" customHeight="1">
      <c r="B119" s="79"/>
      <c r="C119" s="79"/>
      <c r="D119" s="79"/>
    </row>
    <row r="120" spans="2:4" ht="15.75" customHeight="1">
      <c r="B120" s="79"/>
      <c r="C120" s="79"/>
      <c r="D120" s="79"/>
    </row>
    <row r="121" spans="2:4" ht="15.75" customHeight="1">
      <c r="B121" s="79"/>
      <c r="C121" s="79"/>
      <c r="D121" s="79"/>
    </row>
    <row r="122" spans="2:4" ht="15.75" customHeight="1">
      <c r="B122" s="79"/>
      <c r="C122" s="79"/>
      <c r="D122" s="79"/>
    </row>
    <row r="123" spans="2:4" ht="15.75" customHeight="1">
      <c r="B123" s="79"/>
      <c r="C123" s="79"/>
      <c r="D123" s="79"/>
    </row>
    <row r="124" spans="2:4" ht="15.75" customHeight="1">
      <c r="B124" s="79"/>
      <c r="C124" s="79"/>
      <c r="D124" s="79"/>
    </row>
    <row r="125" spans="2:4" ht="15.75" customHeight="1">
      <c r="B125" s="79"/>
      <c r="C125" s="79"/>
      <c r="D125" s="79"/>
    </row>
    <row r="126" spans="2:4" ht="15.75" customHeight="1">
      <c r="B126" s="79"/>
      <c r="C126" s="79"/>
      <c r="D126" s="79"/>
    </row>
    <row r="127" spans="2:4" ht="15.75" customHeight="1">
      <c r="B127" s="79"/>
      <c r="C127" s="79"/>
      <c r="D127" s="79"/>
    </row>
    <row r="128" spans="2:4" ht="15.75" customHeight="1">
      <c r="B128" s="79"/>
      <c r="C128" s="79"/>
      <c r="D128" s="79"/>
    </row>
    <row r="129" spans="2:4" ht="15.75" customHeight="1">
      <c r="B129" s="79"/>
      <c r="C129" s="79"/>
      <c r="D129" s="79"/>
    </row>
    <row r="130" spans="2:4" ht="15.75" customHeight="1">
      <c r="B130" s="79"/>
      <c r="C130" s="79"/>
      <c r="D130" s="79"/>
    </row>
    <row r="131" spans="2:4" ht="15.75" customHeight="1">
      <c r="B131" s="79"/>
      <c r="C131" s="79"/>
      <c r="D131" s="79"/>
    </row>
    <row r="132" spans="2:4" ht="15.75" customHeight="1">
      <c r="B132" s="79"/>
      <c r="C132" s="79"/>
      <c r="D132" s="79"/>
    </row>
    <row r="133" spans="2:4" ht="15.75" customHeight="1">
      <c r="B133" s="79"/>
      <c r="C133" s="79"/>
      <c r="D133" s="79"/>
    </row>
    <row r="134" spans="2:4" ht="15.75" customHeight="1">
      <c r="B134" s="79"/>
      <c r="C134" s="79"/>
      <c r="D134" s="79"/>
    </row>
    <row r="135" spans="2:4" ht="15.75" customHeight="1">
      <c r="B135" s="79"/>
      <c r="C135" s="79"/>
      <c r="D135" s="79"/>
    </row>
    <row r="136" spans="2:4" ht="15.75" customHeight="1">
      <c r="B136" s="79"/>
      <c r="C136" s="79"/>
      <c r="D136" s="79"/>
    </row>
    <row r="137" spans="2:4" ht="15.75" customHeight="1">
      <c r="B137" s="79"/>
      <c r="C137" s="79"/>
      <c r="D137" s="79"/>
    </row>
    <row r="138" spans="2:4" ht="15.75" customHeight="1">
      <c r="B138" s="79"/>
      <c r="C138" s="79"/>
      <c r="D138" s="79"/>
    </row>
    <row r="139" spans="2:4" ht="15.75" customHeight="1">
      <c r="B139" s="79"/>
      <c r="C139" s="79"/>
      <c r="D139" s="79"/>
    </row>
    <row r="140" spans="2:4" ht="15.75" customHeight="1">
      <c r="B140" s="79"/>
      <c r="C140" s="79"/>
      <c r="D140" s="79"/>
    </row>
    <row r="141" spans="2:4" ht="15.75" customHeight="1">
      <c r="B141" s="79"/>
      <c r="C141" s="79"/>
      <c r="D141" s="79"/>
    </row>
    <row r="142" spans="2:4" ht="15.75" customHeight="1">
      <c r="B142" s="79"/>
      <c r="C142" s="79"/>
      <c r="D142" s="79"/>
    </row>
    <row r="143" spans="2:4" ht="15.75" customHeight="1">
      <c r="B143" s="79"/>
      <c r="C143" s="79"/>
      <c r="D143" s="79"/>
    </row>
    <row r="144" spans="2:4" ht="15.75" customHeight="1">
      <c r="B144" s="79"/>
      <c r="C144" s="79"/>
      <c r="D144" s="79"/>
    </row>
    <row r="145" spans="2:4" ht="15.75" customHeight="1">
      <c r="B145" s="79"/>
      <c r="C145" s="79"/>
      <c r="D145" s="79"/>
    </row>
    <row r="146" spans="2:4" ht="15.75" customHeight="1">
      <c r="B146" s="79"/>
      <c r="C146" s="79"/>
      <c r="D146" s="79"/>
    </row>
    <row r="147" spans="2:4" ht="15.75" customHeight="1">
      <c r="B147" s="79"/>
      <c r="C147" s="79"/>
      <c r="D147" s="79"/>
    </row>
    <row r="148" spans="2:4" ht="15.75" customHeight="1">
      <c r="B148" s="79"/>
      <c r="C148" s="79"/>
      <c r="D148" s="79"/>
    </row>
    <row r="149" spans="2:4" ht="15.75" customHeight="1">
      <c r="B149" s="79"/>
      <c r="C149" s="79"/>
      <c r="D149" s="79"/>
    </row>
    <row r="150" spans="2:4" ht="15.75" customHeight="1">
      <c r="B150" s="79"/>
      <c r="C150" s="79"/>
      <c r="D150" s="79"/>
    </row>
    <row r="151" spans="2:4" ht="15.75" customHeight="1">
      <c r="B151" s="79"/>
      <c r="C151" s="79"/>
      <c r="D151" s="79"/>
    </row>
    <row r="152" spans="2:4" ht="15.75" customHeight="1">
      <c r="B152" s="79"/>
      <c r="C152" s="79"/>
      <c r="D152" s="79"/>
    </row>
    <row r="153" spans="2:4" ht="15.75" customHeight="1">
      <c r="B153" s="79"/>
      <c r="C153" s="79"/>
      <c r="D153" s="79"/>
    </row>
    <row r="154" spans="2:4" ht="15.75" customHeight="1">
      <c r="B154" s="79"/>
      <c r="C154" s="79"/>
      <c r="D154" s="79"/>
    </row>
    <row r="155" spans="2:4" ht="15.75" customHeight="1">
      <c r="B155" s="79"/>
      <c r="C155" s="79"/>
      <c r="D155" s="79"/>
    </row>
    <row r="156" spans="2:4" ht="15.75" customHeight="1">
      <c r="B156" s="79"/>
      <c r="C156" s="79"/>
      <c r="D156" s="79"/>
    </row>
    <row r="157" spans="2:4" ht="15.75" customHeight="1">
      <c r="B157" s="79"/>
      <c r="C157" s="79"/>
      <c r="D157" s="79"/>
    </row>
    <row r="158" spans="2:4" ht="15.75" customHeight="1">
      <c r="B158" s="79"/>
      <c r="C158" s="79"/>
      <c r="D158" s="79"/>
    </row>
    <row r="159" spans="2:4" ht="15.75" customHeight="1">
      <c r="B159" s="79"/>
      <c r="C159" s="79"/>
      <c r="D159" s="79"/>
    </row>
    <row r="160" spans="2:4" ht="15.75" customHeight="1">
      <c r="B160" s="79"/>
      <c r="C160" s="79"/>
      <c r="D160" s="79"/>
    </row>
    <row r="161" spans="2:4" ht="15.75" customHeight="1">
      <c r="B161" s="79"/>
      <c r="C161" s="79"/>
      <c r="D161" s="79"/>
    </row>
    <row r="162" spans="2:4" ht="15.75" customHeight="1">
      <c r="B162" s="79"/>
      <c r="C162" s="79"/>
      <c r="D162" s="79"/>
    </row>
    <row r="163" spans="2:4" ht="15.75" customHeight="1">
      <c r="B163" s="79"/>
      <c r="C163" s="79"/>
      <c r="D163" s="79"/>
    </row>
    <row r="164" spans="2:4" ht="15.75" customHeight="1">
      <c r="B164" s="79"/>
      <c r="C164" s="79"/>
      <c r="D164" s="79"/>
    </row>
    <row r="165" spans="2:4" ht="15.75" customHeight="1">
      <c r="B165" s="79"/>
      <c r="C165" s="79"/>
      <c r="D165" s="79"/>
    </row>
    <row r="166" spans="2:4" ht="15.75" customHeight="1">
      <c r="B166" s="79"/>
      <c r="C166" s="79"/>
      <c r="D166" s="79"/>
    </row>
    <row r="167" spans="2:4" ht="15.75" customHeight="1">
      <c r="B167" s="79"/>
      <c r="C167" s="79"/>
      <c r="D167" s="79"/>
    </row>
    <row r="168" spans="2:4" ht="15.75" customHeight="1">
      <c r="B168" s="79"/>
      <c r="C168" s="79"/>
      <c r="D168" s="79"/>
    </row>
    <row r="169" spans="2:4" ht="15.75" customHeight="1">
      <c r="B169" s="79"/>
      <c r="C169" s="79"/>
      <c r="D169" s="79"/>
    </row>
    <row r="170" spans="2:4" ht="15.75" customHeight="1">
      <c r="B170" s="79"/>
      <c r="C170" s="79"/>
      <c r="D170" s="79"/>
    </row>
    <row r="171" spans="2:4" ht="15.75" customHeight="1">
      <c r="B171" s="79"/>
      <c r="C171" s="79"/>
      <c r="D171" s="79"/>
    </row>
    <row r="172" spans="2:4" ht="15.75" customHeight="1">
      <c r="B172" s="79"/>
      <c r="C172" s="79"/>
      <c r="D172" s="79"/>
    </row>
    <row r="173" spans="2:4" ht="15.75" customHeight="1">
      <c r="B173" s="79"/>
      <c r="C173" s="79"/>
      <c r="D173" s="79"/>
    </row>
    <row r="174" spans="2:4" ht="15.75" customHeight="1">
      <c r="B174" s="79"/>
      <c r="C174" s="79"/>
      <c r="D174" s="79"/>
    </row>
    <row r="175" spans="2:4" ht="15.75" customHeight="1">
      <c r="B175" s="79"/>
      <c r="C175" s="79"/>
      <c r="D175" s="79"/>
    </row>
    <row r="176" spans="2:4" ht="15.75" customHeight="1">
      <c r="B176" s="79"/>
      <c r="C176" s="79"/>
      <c r="D176" s="79"/>
    </row>
    <row r="177" spans="2:4" ht="15.75" customHeight="1">
      <c r="B177" s="79"/>
      <c r="C177" s="79"/>
      <c r="D177" s="79"/>
    </row>
    <row r="178" spans="2:4" ht="15.75" customHeight="1">
      <c r="B178" s="79"/>
      <c r="C178" s="79"/>
      <c r="D178" s="79"/>
    </row>
    <row r="179" spans="2:4" ht="15.75" customHeight="1">
      <c r="B179" s="79"/>
      <c r="C179" s="79"/>
      <c r="D179" s="79"/>
    </row>
    <row r="180" spans="2:4" ht="15.75" customHeight="1">
      <c r="B180" s="79"/>
      <c r="C180" s="79"/>
      <c r="D180" s="79"/>
    </row>
    <row r="181" spans="2:4" ht="15.75" customHeight="1">
      <c r="B181" s="79"/>
      <c r="C181" s="79"/>
      <c r="D181" s="79"/>
    </row>
    <row r="182" spans="2:4" ht="15.75" customHeight="1">
      <c r="B182" s="79"/>
      <c r="C182" s="79"/>
      <c r="D182" s="79"/>
    </row>
    <row r="183" spans="2:4" ht="15.75" customHeight="1">
      <c r="B183" s="79"/>
      <c r="C183" s="79"/>
      <c r="D183" s="79"/>
    </row>
    <row r="184" spans="2:4" ht="15.75" customHeight="1">
      <c r="B184" s="79"/>
      <c r="C184" s="79"/>
      <c r="D184" s="79"/>
    </row>
    <row r="185" spans="2:4" ht="15.75" customHeight="1">
      <c r="B185" s="79"/>
      <c r="C185" s="79"/>
      <c r="D185" s="79"/>
    </row>
    <row r="186" spans="2:4" ht="15.75" customHeight="1">
      <c r="B186" s="79"/>
      <c r="C186" s="79"/>
      <c r="D186" s="79"/>
    </row>
    <row r="187" spans="2:4" ht="15.75" customHeight="1">
      <c r="B187" s="79"/>
      <c r="C187" s="79"/>
      <c r="D187" s="79"/>
    </row>
    <row r="188" spans="2:4" ht="15.75" customHeight="1">
      <c r="B188" s="79"/>
      <c r="C188" s="79"/>
      <c r="D188" s="79"/>
    </row>
    <row r="189" spans="2:4" ht="15.75" customHeight="1">
      <c r="B189" s="79"/>
      <c r="C189" s="79"/>
      <c r="D189" s="79"/>
    </row>
    <row r="190" spans="2:4" ht="15.75" customHeight="1">
      <c r="B190" s="79"/>
      <c r="C190" s="79"/>
      <c r="D190" s="79"/>
    </row>
    <row r="191" spans="2:4" ht="15.75" customHeight="1">
      <c r="B191" s="79"/>
      <c r="C191" s="79"/>
      <c r="D191" s="79"/>
    </row>
    <row r="192" spans="2:4" ht="15.75" customHeight="1">
      <c r="B192" s="79"/>
      <c r="C192" s="79"/>
      <c r="D192" s="79"/>
    </row>
    <row r="193" spans="2:4" ht="15.75" customHeight="1">
      <c r="B193" s="79"/>
      <c r="C193" s="79"/>
      <c r="D193" s="79"/>
    </row>
    <row r="194" spans="2:4" ht="15.75" customHeight="1">
      <c r="B194" s="79"/>
      <c r="C194" s="79"/>
      <c r="D194" s="79"/>
    </row>
    <row r="195" spans="2:4" ht="15.75" customHeight="1">
      <c r="B195" s="79"/>
      <c r="C195" s="79"/>
      <c r="D195" s="79"/>
    </row>
    <row r="196" spans="2:4" ht="15.75" customHeight="1">
      <c r="B196" s="79"/>
      <c r="C196" s="79"/>
      <c r="D196" s="79"/>
    </row>
    <row r="197" spans="2:4" ht="15.75" customHeight="1">
      <c r="B197" s="79"/>
      <c r="C197" s="79"/>
      <c r="D197" s="79"/>
    </row>
    <row r="198" spans="2:4" ht="15.75" customHeight="1">
      <c r="B198" s="79"/>
      <c r="C198" s="79"/>
      <c r="D198" s="79"/>
    </row>
    <row r="199" spans="2:4" ht="15.75" customHeight="1">
      <c r="B199" s="79"/>
      <c r="C199" s="79"/>
      <c r="D199" s="79"/>
    </row>
    <row r="200" spans="2:4" ht="15.75" customHeight="1">
      <c r="B200" s="79"/>
      <c r="C200" s="79"/>
      <c r="D200" s="79"/>
    </row>
    <row r="201" spans="2:4" ht="15.75" customHeight="1">
      <c r="B201" s="79"/>
      <c r="C201" s="79"/>
      <c r="D201" s="79"/>
    </row>
    <row r="202" spans="2:4" ht="15.75" customHeight="1">
      <c r="B202" s="79"/>
      <c r="C202" s="79"/>
      <c r="D202" s="79"/>
    </row>
    <row r="203" spans="2:4" ht="15.75" customHeight="1">
      <c r="B203" s="79"/>
      <c r="C203" s="79"/>
      <c r="D203" s="79"/>
    </row>
    <row r="204" spans="2:4" ht="15.75" customHeight="1">
      <c r="B204" s="79"/>
      <c r="C204" s="79"/>
      <c r="D204" s="79"/>
    </row>
    <row r="205" spans="2:4" ht="15.75" customHeight="1">
      <c r="B205" s="79"/>
      <c r="C205" s="79"/>
      <c r="D205" s="79"/>
    </row>
    <row r="206" spans="2:4" ht="15.75" customHeight="1">
      <c r="B206" s="79"/>
      <c r="C206" s="79"/>
      <c r="D206" s="79"/>
    </row>
    <row r="207" spans="2:4" ht="15.75" customHeight="1">
      <c r="B207" s="79"/>
      <c r="C207" s="79"/>
      <c r="D207" s="79"/>
    </row>
    <row r="208" spans="2:4" ht="15.75" customHeight="1">
      <c r="B208" s="79"/>
      <c r="C208" s="79"/>
      <c r="D208" s="79"/>
    </row>
    <row r="209" spans="2:4" ht="15.75" customHeight="1">
      <c r="B209" s="79"/>
      <c r="C209" s="79"/>
      <c r="D209" s="79"/>
    </row>
    <row r="210" spans="2:4" ht="15.75" customHeight="1">
      <c r="B210" s="79"/>
      <c r="C210" s="79"/>
      <c r="D210" s="79"/>
    </row>
    <row r="211" spans="2:4" ht="15.75" customHeight="1">
      <c r="B211" s="79"/>
      <c r="C211" s="79"/>
      <c r="D211" s="79"/>
    </row>
    <row r="212" spans="2:4" ht="15.75" customHeight="1">
      <c r="B212" s="79"/>
      <c r="C212" s="79"/>
      <c r="D212" s="79"/>
    </row>
    <row r="213" spans="2:4" ht="15.75" customHeight="1">
      <c r="B213" s="79"/>
      <c r="C213" s="79"/>
      <c r="D213" s="79"/>
    </row>
    <row r="214" spans="2:4" ht="15.75" customHeight="1">
      <c r="B214" s="79"/>
      <c r="C214" s="79"/>
      <c r="D214" s="79"/>
    </row>
    <row r="215" spans="2:4" ht="15.75" customHeight="1">
      <c r="B215" s="79"/>
      <c r="C215" s="79"/>
      <c r="D215" s="79"/>
    </row>
    <row r="216" spans="2:4" ht="15.75" customHeight="1">
      <c r="B216" s="79"/>
      <c r="C216" s="79"/>
      <c r="D216" s="79"/>
    </row>
    <row r="217" spans="2:4" ht="15.75" customHeight="1">
      <c r="B217" s="79"/>
      <c r="C217" s="79"/>
      <c r="D217" s="79"/>
    </row>
    <row r="218" spans="2:4" ht="15.75" customHeight="1">
      <c r="B218" s="79"/>
      <c r="C218" s="79"/>
      <c r="D218" s="79"/>
    </row>
    <row r="219" spans="2:4" ht="15.75" customHeight="1">
      <c r="B219" s="79"/>
      <c r="C219" s="79"/>
      <c r="D219" s="79"/>
    </row>
    <row r="220" spans="2:4" ht="15.75" customHeight="1">
      <c r="B220" s="79"/>
      <c r="C220" s="79"/>
      <c r="D220" s="79"/>
    </row>
    <row r="221" spans="2:4" ht="15.75" customHeight="1">
      <c r="B221" s="79"/>
      <c r="C221" s="79"/>
      <c r="D221" s="79"/>
    </row>
    <row r="222" spans="2:4" ht="15.75" customHeight="1">
      <c r="B222" s="79"/>
      <c r="C222" s="79"/>
      <c r="D222" s="79"/>
    </row>
    <row r="223" spans="2:4" ht="15.75" customHeight="1">
      <c r="B223" s="79"/>
      <c r="C223" s="79"/>
      <c r="D223" s="79"/>
    </row>
    <row r="224" spans="2:4" ht="15.75" customHeight="1">
      <c r="B224" s="79"/>
      <c r="C224" s="79"/>
      <c r="D224" s="79"/>
    </row>
    <row r="225" spans="2:4" ht="15.75" customHeight="1">
      <c r="B225" s="79"/>
      <c r="C225" s="79"/>
      <c r="D225" s="79"/>
    </row>
    <row r="226" spans="2:4" ht="15.75" customHeight="1">
      <c r="B226" s="79"/>
      <c r="C226" s="79"/>
      <c r="D226" s="79"/>
    </row>
    <row r="227" spans="2:4" ht="15.75" customHeight="1">
      <c r="B227" s="79"/>
      <c r="C227" s="79"/>
      <c r="D227" s="79"/>
    </row>
    <row r="228" spans="2:4" ht="15.75" customHeight="1">
      <c r="B228" s="79"/>
      <c r="C228" s="79"/>
      <c r="D228" s="79"/>
    </row>
    <row r="229" spans="2:4" ht="15.75" customHeight="1">
      <c r="B229" s="79"/>
      <c r="C229" s="79"/>
      <c r="D229" s="79"/>
    </row>
    <row r="230" spans="2:4" ht="15.75" customHeight="1">
      <c r="B230" s="79"/>
      <c r="C230" s="79"/>
      <c r="D230" s="79"/>
    </row>
    <row r="231" spans="2:4" ht="15.75" customHeight="1">
      <c r="B231" s="79"/>
      <c r="C231" s="79"/>
      <c r="D231" s="79"/>
    </row>
    <row r="232" spans="2:4" ht="15.75" customHeight="1">
      <c r="B232" s="79"/>
      <c r="C232" s="79"/>
      <c r="D232" s="79"/>
    </row>
    <row r="233" spans="2:4" ht="15.75" customHeight="1">
      <c r="B233" s="79"/>
      <c r="C233" s="79"/>
      <c r="D233" s="79"/>
    </row>
    <row r="234" spans="2:4" ht="15.75" customHeight="1">
      <c r="B234" s="79"/>
      <c r="C234" s="79"/>
      <c r="D234" s="79"/>
    </row>
    <row r="235" spans="2:4" ht="15.75" customHeight="1">
      <c r="B235" s="79"/>
      <c r="C235" s="79"/>
      <c r="D235" s="79"/>
    </row>
    <row r="236" spans="2:4" ht="15.75" customHeight="1">
      <c r="B236" s="79"/>
      <c r="C236" s="79"/>
      <c r="D236" s="79"/>
    </row>
    <row r="237" spans="2:4" ht="15.75" customHeight="1">
      <c r="B237" s="79"/>
      <c r="C237" s="79"/>
      <c r="D237" s="79"/>
    </row>
    <row r="238" spans="2:4" ht="15.75" customHeight="1">
      <c r="B238" s="79"/>
      <c r="C238" s="79"/>
      <c r="D238" s="79"/>
    </row>
    <row r="239" spans="2:4" ht="15.75" customHeight="1">
      <c r="B239" s="79"/>
      <c r="C239" s="79"/>
      <c r="D239" s="79"/>
    </row>
    <row r="240" spans="2:4" ht="15.75" customHeight="1">
      <c r="B240" s="79"/>
      <c r="C240" s="79"/>
      <c r="D240" s="79"/>
    </row>
    <row r="241" spans="2:4" ht="15.75" customHeight="1">
      <c r="B241" s="79"/>
      <c r="C241" s="79"/>
      <c r="D241" s="79"/>
    </row>
    <row r="242" spans="2:4" ht="15.75" customHeight="1">
      <c r="B242" s="79"/>
      <c r="C242" s="79"/>
      <c r="D242" s="79"/>
    </row>
    <row r="243" spans="2:4" ht="15.75" customHeight="1">
      <c r="B243" s="79"/>
      <c r="C243" s="79"/>
      <c r="D243" s="79"/>
    </row>
    <row r="244" spans="2:4" ht="15.75" customHeight="1">
      <c r="B244" s="79"/>
      <c r="C244" s="79"/>
      <c r="D244" s="79"/>
    </row>
    <row r="245" spans="2:4" ht="15.75" customHeight="1">
      <c r="B245" s="79"/>
      <c r="C245" s="79"/>
      <c r="D245" s="79"/>
    </row>
    <row r="246" spans="2:4" ht="15.75" customHeight="1">
      <c r="B246" s="79"/>
      <c r="C246" s="79"/>
      <c r="D246" s="79"/>
    </row>
    <row r="247" spans="2:4" ht="15.75" customHeight="1">
      <c r="B247" s="79"/>
      <c r="C247" s="79"/>
      <c r="D247" s="79"/>
    </row>
    <row r="248" spans="2:4" ht="15.75" customHeight="1">
      <c r="B248" s="79"/>
      <c r="C248" s="79"/>
      <c r="D248" s="79"/>
    </row>
    <row r="249" spans="2:4" ht="15.75" customHeight="1">
      <c r="B249" s="79"/>
      <c r="C249" s="79"/>
      <c r="D249" s="79"/>
    </row>
    <row r="250" spans="2:4" ht="15.75" customHeight="1">
      <c r="B250" s="79"/>
      <c r="C250" s="79"/>
      <c r="D250" s="79"/>
    </row>
    <row r="251" spans="2:4" ht="15.75" customHeight="1">
      <c r="B251" s="79"/>
      <c r="C251" s="79"/>
      <c r="D251" s="79"/>
    </row>
    <row r="252" spans="2:4" ht="15.75" customHeight="1">
      <c r="B252" s="79"/>
      <c r="C252" s="79"/>
      <c r="D252" s="79"/>
    </row>
    <row r="253" spans="2:4" ht="15.75" customHeight="1">
      <c r="B253" s="79"/>
      <c r="C253" s="79"/>
      <c r="D253" s="79"/>
    </row>
    <row r="254" spans="2:4" ht="15.75" customHeight="1">
      <c r="B254" s="79"/>
      <c r="C254" s="79"/>
      <c r="D254" s="79"/>
    </row>
    <row r="255" spans="2:4" ht="15.75" customHeight="1">
      <c r="B255" s="79"/>
      <c r="C255" s="79"/>
      <c r="D255" s="79"/>
    </row>
    <row r="256" spans="2:4" ht="15.75" customHeight="1">
      <c r="B256" s="79"/>
      <c r="C256" s="79"/>
      <c r="D256" s="79"/>
    </row>
    <row r="257" spans="2:4" ht="15.75" customHeight="1">
      <c r="B257" s="79"/>
      <c r="C257" s="79"/>
      <c r="D257" s="79"/>
    </row>
    <row r="258" spans="2:4" ht="15.75" customHeight="1">
      <c r="B258" s="79"/>
      <c r="C258" s="79"/>
      <c r="D258" s="79"/>
    </row>
    <row r="259" spans="2:4" ht="15.75" customHeight="1">
      <c r="B259" s="79"/>
      <c r="C259" s="79"/>
      <c r="D259" s="79"/>
    </row>
    <row r="260" spans="2:4" ht="15.75" customHeight="1">
      <c r="B260" s="79"/>
      <c r="C260" s="79"/>
      <c r="D260" s="79"/>
    </row>
    <row r="261" spans="2:4" ht="15.75" customHeight="1">
      <c r="B261" s="79"/>
      <c r="C261" s="79"/>
      <c r="D261" s="79"/>
    </row>
    <row r="262" spans="2:4" ht="15.75" customHeight="1">
      <c r="B262" s="79"/>
      <c r="C262" s="79"/>
      <c r="D262" s="79"/>
    </row>
    <row r="263" spans="2:4" ht="15.75" customHeight="1">
      <c r="B263" s="79"/>
      <c r="C263" s="79"/>
      <c r="D263" s="79"/>
    </row>
    <row r="264" spans="2:4" ht="15.75" customHeight="1">
      <c r="B264" s="79"/>
      <c r="C264" s="79"/>
      <c r="D264" s="79"/>
    </row>
    <row r="265" spans="2:4" ht="15.75" customHeight="1">
      <c r="B265" s="79"/>
      <c r="C265" s="79"/>
      <c r="D265" s="79"/>
    </row>
    <row r="266" spans="2:4" ht="15.75" customHeight="1">
      <c r="B266" s="79"/>
      <c r="C266" s="79"/>
      <c r="D266" s="79"/>
    </row>
    <row r="267" spans="2:4" ht="15.75" customHeight="1">
      <c r="B267" s="79"/>
      <c r="C267" s="79"/>
      <c r="D267" s="79"/>
    </row>
    <row r="268" spans="2:4" ht="15.75" customHeight="1">
      <c r="B268" s="79"/>
      <c r="C268" s="79"/>
      <c r="D268" s="79"/>
    </row>
    <row r="269" spans="2:4" ht="15.75" customHeight="1">
      <c r="B269" s="79"/>
      <c r="C269" s="79"/>
      <c r="D269" s="79"/>
    </row>
    <row r="270" spans="2:4" ht="15.75" customHeight="1">
      <c r="B270" s="79"/>
      <c r="C270" s="79"/>
      <c r="D270" s="79"/>
    </row>
    <row r="271" spans="2:4" ht="15.75" customHeight="1">
      <c r="B271" s="79"/>
      <c r="C271" s="79"/>
      <c r="D271" s="79"/>
    </row>
    <row r="272" spans="2:4" ht="15.75" customHeight="1">
      <c r="B272" s="79"/>
      <c r="C272" s="79"/>
      <c r="D272" s="79"/>
    </row>
    <row r="273" spans="2:4" ht="15.75" customHeight="1">
      <c r="B273" s="79"/>
      <c r="C273" s="79"/>
      <c r="D273" s="79"/>
    </row>
    <row r="274" spans="2:4" ht="15.75" customHeight="1">
      <c r="B274" s="79"/>
      <c r="C274" s="79"/>
      <c r="D274" s="79"/>
    </row>
    <row r="275" spans="2:4" ht="15.75" customHeight="1">
      <c r="B275" s="79"/>
      <c r="C275" s="79"/>
      <c r="D275" s="79"/>
    </row>
    <row r="276" spans="2:4" ht="15.75" customHeight="1">
      <c r="B276" s="79"/>
      <c r="C276" s="79"/>
      <c r="D276" s="79"/>
    </row>
    <row r="277" spans="2:4" ht="15.75" customHeight="1">
      <c r="B277" s="79"/>
      <c r="C277" s="79"/>
      <c r="D277" s="79"/>
    </row>
    <row r="278" spans="2:4" ht="15.75" customHeight="1">
      <c r="B278" s="79"/>
      <c r="C278" s="79"/>
      <c r="D278" s="79"/>
    </row>
    <row r="279" spans="2:4" ht="15.75" customHeight="1">
      <c r="B279" s="79"/>
      <c r="C279" s="79"/>
      <c r="D279" s="79"/>
    </row>
    <row r="280" spans="2:4" ht="15.75" customHeight="1">
      <c r="B280" s="79"/>
      <c r="C280" s="79"/>
      <c r="D280" s="79"/>
    </row>
    <row r="281" spans="2:4" ht="15.75" customHeight="1">
      <c r="B281" s="79"/>
      <c r="C281" s="79"/>
      <c r="D281" s="79"/>
    </row>
    <row r="282" spans="2:4" ht="15.75" customHeight="1">
      <c r="B282" s="79"/>
      <c r="C282" s="79"/>
      <c r="D282" s="79"/>
    </row>
    <row r="283" spans="2:4" ht="15.75" customHeight="1">
      <c r="B283" s="79"/>
      <c r="C283" s="79"/>
      <c r="D283" s="79"/>
    </row>
    <row r="284" spans="2:4" ht="15.75" customHeight="1">
      <c r="B284" s="79"/>
      <c r="C284" s="79"/>
      <c r="D284" s="79"/>
    </row>
    <row r="285" spans="2:4" ht="15.75" customHeight="1">
      <c r="B285" s="79"/>
      <c r="C285" s="79"/>
      <c r="D285" s="79"/>
    </row>
    <row r="286" spans="2:4" ht="15.75" customHeight="1">
      <c r="B286" s="79"/>
      <c r="C286" s="79"/>
      <c r="D286" s="79"/>
    </row>
    <row r="287" spans="2:4" ht="15.75" customHeight="1">
      <c r="B287" s="79"/>
      <c r="C287" s="79"/>
      <c r="D287" s="79"/>
    </row>
    <row r="288" spans="2:4" ht="15.75" customHeight="1">
      <c r="B288" s="79"/>
      <c r="C288" s="79"/>
      <c r="D288" s="79"/>
    </row>
    <row r="289" spans="2:4" ht="15.75" customHeight="1">
      <c r="B289" s="79"/>
      <c r="C289" s="79"/>
      <c r="D289" s="79"/>
    </row>
    <row r="290" spans="2:4" ht="15.75" customHeight="1">
      <c r="B290" s="79"/>
      <c r="C290" s="79"/>
      <c r="D290" s="79"/>
    </row>
    <row r="291" spans="2:4" ht="15.75" customHeight="1">
      <c r="B291" s="79"/>
      <c r="C291" s="79"/>
      <c r="D291" s="79"/>
    </row>
    <row r="292" spans="2:4" ht="15.75" customHeight="1">
      <c r="B292" s="79"/>
      <c r="C292" s="79"/>
      <c r="D292" s="79"/>
    </row>
    <row r="293" spans="2:4" ht="15.75" customHeight="1">
      <c r="B293" s="79"/>
      <c r="C293" s="79"/>
      <c r="D293" s="79"/>
    </row>
    <row r="294" spans="2:4" ht="15.75" customHeight="1">
      <c r="B294" s="79"/>
      <c r="C294" s="79"/>
      <c r="D294" s="79"/>
    </row>
    <row r="295" spans="2:4" ht="15.75" customHeight="1">
      <c r="B295" s="79"/>
      <c r="C295" s="79"/>
      <c r="D295" s="79"/>
    </row>
    <row r="296" spans="2:4" ht="15.75" customHeight="1">
      <c r="B296" s="79"/>
      <c r="C296" s="79"/>
      <c r="D296" s="79"/>
    </row>
    <row r="297" spans="2:4" ht="15.75" customHeight="1">
      <c r="B297" s="79"/>
      <c r="C297" s="79"/>
      <c r="D297" s="79"/>
    </row>
    <row r="298" spans="2:4" ht="15.75" customHeight="1">
      <c r="B298" s="79"/>
      <c r="C298" s="79"/>
      <c r="D298" s="79"/>
    </row>
    <row r="299" spans="2:4" ht="15.75" customHeight="1">
      <c r="B299" s="79"/>
      <c r="C299" s="79"/>
      <c r="D299" s="79"/>
    </row>
    <row r="300" spans="2:4" ht="15.75" customHeight="1">
      <c r="B300" s="79"/>
      <c r="C300" s="79"/>
      <c r="D300" s="79"/>
    </row>
    <row r="301" spans="2:4" ht="15.75" customHeight="1">
      <c r="B301" s="79"/>
      <c r="C301" s="79"/>
      <c r="D301" s="79"/>
    </row>
    <row r="302" spans="2:4" ht="15.75" customHeight="1">
      <c r="B302" s="79"/>
      <c r="C302" s="79"/>
      <c r="D302" s="79"/>
    </row>
    <row r="303" spans="2:4" ht="15.75" customHeight="1">
      <c r="B303" s="79"/>
      <c r="C303" s="79"/>
      <c r="D303" s="79"/>
    </row>
    <row r="304" spans="2:4" ht="15.75" customHeight="1">
      <c r="B304" s="79"/>
      <c r="C304" s="79"/>
      <c r="D304" s="79"/>
    </row>
    <row r="305" spans="2:4" ht="15.75" customHeight="1">
      <c r="B305" s="79"/>
      <c r="C305" s="79"/>
      <c r="D305" s="79"/>
    </row>
    <row r="306" spans="2:4" ht="15.75" customHeight="1">
      <c r="B306" s="79"/>
      <c r="C306" s="79"/>
      <c r="D306" s="79"/>
    </row>
    <row r="307" spans="2:4" ht="15.75" customHeight="1">
      <c r="B307" s="79"/>
      <c r="C307" s="79"/>
      <c r="D307" s="79"/>
    </row>
    <row r="308" spans="2:4" ht="15.75" customHeight="1">
      <c r="B308" s="79"/>
      <c r="C308" s="79"/>
      <c r="D308" s="79"/>
    </row>
    <row r="309" spans="2:4" ht="15.75" customHeight="1">
      <c r="B309" s="79"/>
      <c r="C309" s="79"/>
      <c r="D309" s="79"/>
    </row>
    <row r="310" spans="2:4" ht="15.75" customHeight="1">
      <c r="B310" s="79"/>
      <c r="C310" s="79"/>
      <c r="D310" s="79"/>
    </row>
    <row r="311" spans="2:4" ht="15.75" customHeight="1">
      <c r="B311" s="79"/>
      <c r="C311" s="79"/>
      <c r="D311" s="79"/>
    </row>
    <row r="312" spans="2:4" ht="15.75" customHeight="1">
      <c r="B312" s="79"/>
      <c r="C312" s="79"/>
      <c r="D312" s="79"/>
    </row>
    <row r="313" spans="2:4" ht="15.75" customHeight="1">
      <c r="B313" s="79"/>
      <c r="C313" s="79"/>
      <c r="D313" s="79"/>
    </row>
    <row r="314" spans="2:4" ht="15.75" customHeight="1">
      <c r="B314" s="79"/>
      <c r="C314" s="79"/>
      <c r="D314" s="79"/>
    </row>
    <row r="315" spans="2:4" ht="15.75" customHeight="1">
      <c r="B315" s="79"/>
      <c r="C315" s="79"/>
      <c r="D315" s="79"/>
    </row>
    <row r="316" spans="2:4" ht="15.75" customHeight="1">
      <c r="B316" s="79"/>
      <c r="C316" s="79"/>
      <c r="D316" s="79"/>
    </row>
    <row r="317" spans="2:4" ht="15.75" customHeight="1">
      <c r="B317" s="79"/>
      <c r="C317" s="79"/>
      <c r="D317" s="79"/>
    </row>
    <row r="318" spans="2:4" ht="15.75" customHeight="1">
      <c r="B318" s="79"/>
      <c r="C318" s="79"/>
      <c r="D318" s="79"/>
    </row>
    <row r="319" spans="2:4" ht="15.75" customHeight="1">
      <c r="B319" s="79"/>
      <c r="C319" s="79"/>
      <c r="D319" s="79"/>
    </row>
    <row r="320" spans="2:4" ht="15.75" customHeight="1">
      <c r="B320" s="79"/>
      <c r="C320" s="79"/>
      <c r="D320" s="79"/>
    </row>
    <row r="321" spans="2:4" ht="15.75" customHeight="1">
      <c r="B321" s="79"/>
      <c r="C321" s="79"/>
      <c r="D321" s="79"/>
    </row>
    <row r="322" spans="2:4" ht="15.75" customHeight="1">
      <c r="B322" s="79"/>
      <c r="C322" s="79"/>
      <c r="D322" s="79"/>
    </row>
    <row r="323" spans="2:4" ht="15.75" customHeight="1">
      <c r="B323" s="79"/>
      <c r="C323" s="79"/>
      <c r="D323" s="79"/>
    </row>
    <row r="324" spans="2:4" ht="15.75" customHeight="1">
      <c r="B324" s="79"/>
      <c r="C324" s="79"/>
      <c r="D324" s="79"/>
    </row>
    <row r="325" spans="2:4" ht="15.75" customHeight="1">
      <c r="B325" s="79"/>
      <c r="C325" s="79"/>
      <c r="D325" s="79"/>
    </row>
    <row r="326" spans="2:4" ht="15.75" customHeight="1">
      <c r="B326" s="79"/>
      <c r="C326" s="79"/>
      <c r="D326" s="79"/>
    </row>
    <row r="327" spans="2:4" ht="15.75" customHeight="1">
      <c r="B327" s="79"/>
      <c r="C327" s="79"/>
      <c r="D327" s="79"/>
    </row>
    <row r="328" spans="2:4" ht="15.75" customHeight="1">
      <c r="B328" s="79"/>
      <c r="C328" s="79"/>
      <c r="D328" s="79"/>
    </row>
    <row r="329" spans="2:4" ht="15.75" customHeight="1">
      <c r="B329" s="79"/>
      <c r="C329" s="79"/>
      <c r="D329" s="79"/>
    </row>
    <row r="330" spans="2:4" ht="15.75" customHeight="1">
      <c r="B330" s="79"/>
      <c r="C330" s="79"/>
      <c r="D330" s="79"/>
    </row>
    <row r="331" spans="2:4" ht="15.75" customHeight="1">
      <c r="B331" s="79"/>
      <c r="C331" s="79"/>
      <c r="D331" s="79"/>
    </row>
    <row r="332" spans="2:4" ht="15.75" customHeight="1">
      <c r="B332" s="79"/>
      <c r="C332" s="79"/>
      <c r="D332" s="79"/>
    </row>
    <row r="333" spans="2:4" ht="15.75" customHeight="1">
      <c r="B333" s="79"/>
      <c r="C333" s="79"/>
      <c r="D333" s="79"/>
    </row>
    <row r="334" spans="2:4" ht="15.75" customHeight="1">
      <c r="B334" s="79"/>
      <c r="C334" s="79"/>
      <c r="D334" s="79"/>
    </row>
    <row r="335" spans="2:4" ht="15.75" customHeight="1">
      <c r="B335" s="79"/>
      <c r="C335" s="79"/>
      <c r="D335" s="79"/>
    </row>
    <row r="336" spans="2:4" ht="15.75" customHeight="1">
      <c r="B336" s="79"/>
      <c r="C336" s="79"/>
      <c r="D336" s="79"/>
    </row>
    <row r="337" spans="2:4" ht="15.75" customHeight="1">
      <c r="B337" s="79"/>
      <c r="C337" s="79"/>
      <c r="D337" s="79"/>
    </row>
    <row r="338" spans="2:4" ht="15.75" customHeight="1">
      <c r="B338" s="79"/>
      <c r="C338" s="79"/>
      <c r="D338" s="79"/>
    </row>
    <row r="339" spans="2:4" ht="15.75" customHeight="1">
      <c r="B339" s="79"/>
      <c r="C339" s="79"/>
      <c r="D339" s="79"/>
    </row>
    <row r="340" spans="2:4" ht="15.75" customHeight="1">
      <c r="B340" s="79"/>
      <c r="C340" s="79"/>
      <c r="D340" s="79"/>
    </row>
    <row r="341" spans="2:4" ht="15.75" customHeight="1">
      <c r="B341" s="79"/>
      <c r="C341" s="79"/>
      <c r="D341" s="79"/>
    </row>
    <row r="342" spans="2:4" ht="15.75" customHeight="1">
      <c r="B342" s="79"/>
      <c r="C342" s="79"/>
      <c r="D342" s="79"/>
    </row>
    <row r="343" spans="2:4" ht="15.75" customHeight="1">
      <c r="B343" s="79"/>
      <c r="C343" s="79"/>
      <c r="D343" s="79"/>
    </row>
    <row r="344" spans="2:4" ht="15.75" customHeight="1">
      <c r="B344" s="79"/>
      <c r="C344" s="79"/>
      <c r="D344" s="79"/>
    </row>
    <row r="345" spans="2:4" ht="15.75" customHeight="1">
      <c r="B345" s="79"/>
      <c r="C345" s="79"/>
      <c r="D345" s="79"/>
    </row>
    <row r="346" spans="2:4" ht="15.75" customHeight="1">
      <c r="B346" s="79"/>
      <c r="C346" s="79"/>
      <c r="D346" s="79"/>
    </row>
    <row r="347" spans="2:4" ht="15.75" customHeight="1">
      <c r="B347" s="79"/>
      <c r="C347" s="79"/>
      <c r="D347" s="79"/>
    </row>
    <row r="348" spans="2:4" ht="15.75" customHeight="1">
      <c r="B348" s="79"/>
      <c r="C348" s="79"/>
      <c r="D348" s="79"/>
    </row>
    <row r="349" spans="2:4" ht="15.75" customHeight="1">
      <c r="B349" s="79"/>
      <c r="C349" s="79"/>
      <c r="D349" s="79"/>
    </row>
    <row r="350" spans="2:4" ht="15.75" customHeight="1">
      <c r="B350" s="79"/>
      <c r="C350" s="79"/>
      <c r="D350" s="79"/>
    </row>
    <row r="351" spans="2:4" ht="15.75" customHeight="1">
      <c r="B351" s="79"/>
      <c r="C351" s="79"/>
      <c r="D351" s="79"/>
    </row>
    <row r="352" spans="2:4" ht="15.75" customHeight="1">
      <c r="B352" s="79"/>
      <c r="C352" s="79"/>
      <c r="D352" s="79"/>
    </row>
    <row r="353" spans="2:4" ht="15.75" customHeight="1">
      <c r="B353" s="79"/>
      <c r="C353" s="79"/>
      <c r="D353" s="79"/>
    </row>
    <row r="354" spans="2:4" ht="15.75" customHeight="1">
      <c r="B354" s="79"/>
      <c r="C354" s="79"/>
      <c r="D354" s="79"/>
    </row>
    <row r="355" spans="2:4" ht="15.75" customHeight="1">
      <c r="B355" s="79"/>
      <c r="C355" s="79"/>
      <c r="D355" s="79"/>
    </row>
    <row r="356" spans="2:4" ht="15.75" customHeight="1">
      <c r="B356" s="79"/>
      <c r="C356" s="79"/>
      <c r="D356" s="79"/>
    </row>
    <row r="357" spans="2:4" ht="15.75" customHeight="1">
      <c r="B357" s="79"/>
      <c r="C357" s="79"/>
      <c r="D357" s="79"/>
    </row>
    <row r="358" spans="2:4" ht="15.75" customHeight="1">
      <c r="B358" s="79"/>
      <c r="C358" s="79"/>
      <c r="D358" s="79"/>
    </row>
    <row r="359" spans="2:4" ht="15.75" customHeight="1">
      <c r="B359" s="79"/>
      <c r="C359" s="79"/>
      <c r="D359" s="79"/>
    </row>
    <row r="360" spans="2:4" ht="15.75" customHeight="1">
      <c r="B360" s="79"/>
      <c r="C360" s="79"/>
      <c r="D360" s="79"/>
    </row>
    <row r="361" spans="2:4" ht="15.75" customHeight="1">
      <c r="B361" s="79"/>
      <c r="C361" s="79"/>
      <c r="D361" s="79"/>
    </row>
    <row r="362" spans="2:4" ht="15.75" customHeight="1">
      <c r="B362" s="79"/>
      <c r="C362" s="79"/>
      <c r="D362" s="79"/>
    </row>
    <row r="363" spans="2:4" ht="15.75" customHeight="1">
      <c r="B363" s="79"/>
      <c r="C363" s="79"/>
      <c r="D363" s="79"/>
    </row>
    <row r="364" spans="2:4" ht="15.75" customHeight="1">
      <c r="B364" s="79"/>
      <c r="C364" s="79"/>
      <c r="D364" s="79"/>
    </row>
    <row r="365" spans="2:4" ht="15.75" customHeight="1">
      <c r="B365" s="79"/>
      <c r="C365" s="79"/>
      <c r="D365" s="79"/>
    </row>
    <row r="366" spans="2:4" ht="15.75" customHeight="1">
      <c r="B366" s="79"/>
      <c r="C366" s="79"/>
      <c r="D366" s="79"/>
    </row>
    <row r="367" spans="2:4" ht="15.75" customHeight="1">
      <c r="B367" s="79"/>
      <c r="C367" s="79"/>
      <c r="D367" s="79"/>
    </row>
    <row r="368" spans="2:4" ht="15.75" customHeight="1">
      <c r="B368" s="79"/>
      <c r="C368" s="79"/>
      <c r="D368" s="79"/>
    </row>
    <row r="369" spans="2:4" ht="15.75" customHeight="1">
      <c r="B369" s="79"/>
      <c r="C369" s="79"/>
      <c r="D369" s="79"/>
    </row>
    <row r="370" spans="2:4" ht="15.75" customHeight="1">
      <c r="B370" s="79"/>
      <c r="C370" s="79"/>
      <c r="D370" s="79"/>
    </row>
    <row r="371" spans="2:4" ht="15.75" customHeight="1">
      <c r="B371" s="79"/>
      <c r="C371" s="79"/>
      <c r="D371" s="79"/>
    </row>
    <row r="372" spans="2:4" ht="15.75" customHeight="1">
      <c r="B372" s="79"/>
      <c r="C372" s="79"/>
      <c r="D372" s="79"/>
    </row>
    <row r="373" spans="2:4" ht="15.75" customHeight="1">
      <c r="B373" s="79"/>
      <c r="C373" s="79"/>
      <c r="D373" s="79"/>
    </row>
    <row r="374" spans="2:4" ht="15.75" customHeight="1">
      <c r="B374" s="79"/>
      <c r="C374" s="79"/>
      <c r="D374" s="79"/>
    </row>
    <row r="375" spans="2:4" ht="15.75" customHeight="1">
      <c r="B375" s="79"/>
      <c r="C375" s="79"/>
      <c r="D375" s="79"/>
    </row>
    <row r="376" spans="2:4" ht="15.75" customHeight="1">
      <c r="B376" s="79"/>
      <c r="C376" s="79"/>
      <c r="D376" s="79"/>
    </row>
    <row r="377" spans="2:4" ht="15.75" customHeight="1">
      <c r="B377" s="79"/>
      <c r="C377" s="79"/>
      <c r="D377" s="79"/>
    </row>
    <row r="378" spans="2:4" ht="15.75" customHeight="1">
      <c r="B378" s="79"/>
      <c r="C378" s="79"/>
      <c r="D378" s="79"/>
    </row>
    <row r="379" spans="2:4" ht="15.75" customHeight="1">
      <c r="B379" s="79"/>
      <c r="C379" s="79"/>
      <c r="D379" s="79"/>
    </row>
    <row r="380" spans="2:4" ht="15.75" customHeight="1">
      <c r="B380" s="79"/>
      <c r="C380" s="79"/>
      <c r="D380" s="79"/>
    </row>
    <row r="381" spans="2:4" ht="15.75" customHeight="1">
      <c r="B381" s="79"/>
      <c r="C381" s="79"/>
      <c r="D381" s="79"/>
    </row>
    <row r="382" spans="2:4" ht="15.75" customHeight="1">
      <c r="B382" s="79"/>
      <c r="C382" s="79"/>
      <c r="D382" s="79"/>
    </row>
    <row r="383" spans="2:4" ht="15.75" customHeight="1">
      <c r="B383" s="79"/>
      <c r="C383" s="79"/>
      <c r="D383" s="79"/>
    </row>
    <row r="384" spans="2:4" ht="15.75" customHeight="1">
      <c r="B384" s="79"/>
      <c r="C384" s="79"/>
      <c r="D384" s="79"/>
    </row>
    <row r="385" spans="2:4" ht="15.75" customHeight="1">
      <c r="B385" s="79"/>
      <c r="C385" s="79"/>
      <c r="D385" s="79"/>
    </row>
    <row r="386" spans="2:4" ht="15.75" customHeight="1">
      <c r="B386" s="79"/>
      <c r="C386" s="79"/>
      <c r="D386" s="79"/>
    </row>
    <row r="387" spans="2:4" ht="15.75" customHeight="1">
      <c r="B387" s="79"/>
      <c r="C387" s="79"/>
      <c r="D387" s="79"/>
    </row>
    <row r="388" spans="2:4" ht="15.75" customHeight="1">
      <c r="B388" s="79"/>
      <c r="C388" s="79"/>
      <c r="D388" s="79"/>
    </row>
    <row r="389" spans="2:4" ht="15.75" customHeight="1">
      <c r="B389" s="79"/>
      <c r="C389" s="79"/>
      <c r="D389" s="79"/>
    </row>
    <row r="390" spans="2:4" ht="15.75" customHeight="1">
      <c r="B390" s="79"/>
      <c r="C390" s="79"/>
      <c r="D390" s="79"/>
    </row>
    <row r="391" spans="2:4" ht="15.75" customHeight="1">
      <c r="B391" s="79"/>
      <c r="C391" s="79"/>
      <c r="D391" s="79"/>
    </row>
    <row r="392" spans="2:4" ht="15.75" customHeight="1">
      <c r="B392" s="79"/>
      <c r="C392" s="79"/>
      <c r="D392" s="79"/>
    </row>
    <row r="393" spans="2:4" ht="15.75" customHeight="1">
      <c r="B393" s="79"/>
      <c r="C393" s="79"/>
      <c r="D393" s="79"/>
    </row>
    <row r="394" spans="2:4" ht="15.75" customHeight="1">
      <c r="B394" s="79"/>
      <c r="C394" s="79"/>
      <c r="D394" s="79"/>
    </row>
    <row r="395" spans="2:4" ht="15.75" customHeight="1">
      <c r="B395" s="79"/>
      <c r="C395" s="79"/>
      <c r="D395" s="79"/>
    </row>
    <row r="396" spans="2:4" ht="15.75" customHeight="1">
      <c r="B396" s="79"/>
      <c r="C396" s="79"/>
      <c r="D396" s="79"/>
    </row>
    <row r="397" spans="2:4" ht="15.75" customHeight="1">
      <c r="B397" s="79"/>
      <c r="C397" s="79"/>
      <c r="D397" s="79"/>
    </row>
    <row r="398" spans="2:4" ht="15.75" customHeight="1">
      <c r="B398" s="79"/>
      <c r="C398" s="79"/>
      <c r="D398" s="79"/>
    </row>
    <row r="399" spans="2:4" ht="15.75" customHeight="1">
      <c r="B399" s="79"/>
      <c r="C399" s="79"/>
      <c r="D399" s="79"/>
    </row>
    <row r="400" spans="2:4" ht="15.75" customHeight="1">
      <c r="B400" s="79"/>
      <c r="C400" s="79"/>
      <c r="D400" s="79"/>
    </row>
    <row r="401" spans="2:4" ht="15.75" customHeight="1">
      <c r="B401" s="79"/>
      <c r="C401" s="79"/>
      <c r="D401" s="79"/>
    </row>
    <row r="402" spans="2:4" ht="15.75" customHeight="1">
      <c r="B402" s="79"/>
      <c r="C402" s="79"/>
      <c r="D402" s="79"/>
    </row>
    <row r="403" spans="2:4" ht="15.75" customHeight="1">
      <c r="B403" s="79"/>
      <c r="C403" s="79"/>
      <c r="D403" s="79"/>
    </row>
    <row r="404" spans="2:4" ht="15.75" customHeight="1">
      <c r="B404" s="79"/>
      <c r="C404" s="79"/>
      <c r="D404" s="79"/>
    </row>
    <row r="405" spans="2:4" ht="15.75" customHeight="1">
      <c r="B405" s="79"/>
      <c r="C405" s="79"/>
      <c r="D405" s="79"/>
    </row>
    <row r="406" spans="2:4" ht="15.75" customHeight="1">
      <c r="B406" s="79"/>
      <c r="C406" s="79"/>
      <c r="D406" s="79"/>
    </row>
    <row r="407" spans="2:4" ht="15.75" customHeight="1">
      <c r="B407" s="79"/>
      <c r="C407" s="79"/>
      <c r="D407" s="79"/>
    </row>
    <row r="408" spans="2:4" ht="15.75" customHeight="1">
      <c r="B408" s="79"/>
      <c r="C408" s="79"/>
      <c r="D408" s="79"/>
    </row>
    <row r="409" spans="2:4" ht="15.75" customHeight="1">
      <c r="B409" s="79"/>
      <c r="C409" s="79"/>
      <c r="D409" s="79"/>
    </row>
    <row r="410" spans="2:4" ht="15.75" customHeight="1">
      <c r="B410" s="79"/>
      <c r="C410" s="79"/>
      <c r="D410" s="79"/>
    </row>
    <row r="411" spans="2:4" ht="15.75" customHeight="1">
      <c r="B411" s="79"/>
      <c r="C411" s="79"/>
      <c r="D411" s="79"/>
    </row>
    <row r="412" spans="2:4" ht="15.75" customHeight="1">
      <c r="B412" s="79"/>
      <c r="C412" s="79"/>
      <c r="D412" s="79"/>
    </row>
    <row r="413" spans="2:4" ht="15.75" customHeight="1">
      <c r="B413" s="79"/>
      <c r="C413" s="79"/>
      <c r="D413" s="79"/>
    </row>
    <row r="414" spans="2:4" ht="15.75" customHeight="1">
      <c r="B414" s="79"/>
      <c r="C414" s="79"/>
      <c r="D414" s="79"/>
    </row>
    <row r="415" spans="2:4" ht="15.75" customHeight="1">
      <c r="B415" s="79"/>
      <c r="C415" s="79"/>
      <c r="D415" s="79"/>
    </row>
    <row r="416" spans="2:4" ht="15.75" customHeight="1">
      <c r="B416" s="79"/>
      <c r="C416" s="79"/>
      <c r="D416" s="79"/>
    </row>
    <row r="417" spans="2:4" ht="15.75" customHeight="1">
      <c r="B417" s="79"/>
      <c r="C417" s="79"/>
      <c r="D417" s="79"/>
    </row>
    <row r="418" spans="2:4" ht="15.75" customHeight="1">
      <c r="B418" s="79"/>
      <c r="C418" s="79"/>
      <c r="D418" s="79"/>
    </row>
    <row r="419" spans="2:4" ht="15.75" customHeight="1">
      <c r="B419" s="79"/>
      <c r="C419" s="79"/>
      <c r="D419" s="79"/>
    </row>
    <row r="420" spans="2:4" ht="15.75" customHeight="1">
      <c r="B420" s="79"/>
      <c r="C420" s="79"/>
      <c r="D420" s="79"/>
    </row>
    <row r="421" spans="2:4" ht="15.75" customHeight="1">
      <c r="B421" s="79"/>
      <c r="C421" s="79"/>
      <c r="D421" s="79"/>
    </row>
    <row r="422" spans="2:4" ht="15.75" customHeight="1">
      <c r="B422" s="79"/>
      <c r="C422" s="79"/>
      <c r="D422" s="79"/>
    </row>
    <row r="423" spans="2:4" ht="15.75" customHeight="1">
      <c r="B423" s="79"/>
      <c r="C423" s="79"/>
      <c r="D423" s="79"/>
    </row>
    <row r="424" spans="2:4" ht="15.75" customHeight="1">
      <c r="B424" s="79"/>
      <c r="C424" s="79"/>
      <c r="D424" s="79"/>
    </row>
    <row r="425" spans="2:4" ht="15.75" customHeight="1">
      <c r="B425" s="79"/>
      <c r="C425" s="79"/>
      <c r="D425" s="79"/>
    </row>
    <row r="426" spans="2:4" ht="15.75" customHeight="1">
      <c r="B426" s="79"/>
      <c r="C426" s="79"/>
      <c r="D426" s="79"/>
    </row>
    <row r="427" spans="2:4" ht="15.75" customHeight="1">
      <c r="B427" s="79"/>
      <c r="C427" s="79"/>
      <c r="D427" s="79"/>
    </row>
    <row r="428" spans="2:4" ht="15.75" customHeight="1">
      <c r="B428" s="79"/>
      <c r="C428" s="79"/>
      <c r="D428" s="79"/>
    </row>
    <row r="429" spans="2:4" ht="15.75" customHeight="1">
      <c r="B429" s="79"/>
      <c r="C429" s="79"/>
      <c r="D429" s="79"/>
    </row>
    <row r="430" spans="2:4" ht="15.75" customHeight="1">
      <c r="B430" s="79"/>
      <c r="C430" s="79"/>
      <c r="D430" s="79"/>
    </row>
    <row r="431" spans="2:4" ht="15.75" customHeight="1">
      <c r="B431" s="79"/>
      <c r="C431" s="79"/>
      <c r="D431" s="79"/>
    </row>
    <row r="432" spans="2:4" ht="15.75" customHeight="1">
      <c r="B432" s="79"/>
      <c r="C432" s="79"/>
      <c r="D432" s="79"/>
    </row>
    <row r="433" spans="2:4" ht="15.75" customHeight="1">
      <c r="B433" s="79"/>
      <c r="C433" s="79"/>
      <c r="D433" s="79"/>
    </row>
    <row r="434" spans="2:4" ht="15.75" customHeight="1">
      <c r="B434" s="79"/>
      <c r="C434" s="79"/>
      <c r="D434" s="79"/>
    </row>
    <row r="435" spans="2:4" ht="15.75" customHeight="1">
      <c r="B435" s="79"/>
      <c r="C435" s="79"/>
      <c r="D435" s="79"/>
    </row>
    <row r="436" spans="2:4" ht="15.75" customHeight="1">
      <c r="B436" s="79"/>
      <c r="C436" s="79"/>
      <c r="D436" s="79"/>
    </row>
    <row r="437" spans="2:4" ht="15.75" customHeight="1">
      <c r="B437" s="79"/>
      <c r="C437" s="79"/>
      <c r="D437" s="79"/>
    </row>
    <row r="438" spans="2:4" ht="15.75" customHeight="1">
      <c r="B438" s="79"/>
      <c r="C438" s="79"/>
      <c r="D438" s="79"/>
    </row>
    <row r="439" spans="2:4" ht="15.75" customHeight="1">
      <c r="B439" s="79"/>
      <c r="C439" s="79"/>
      <c r="D439" s="79"/>
    </row>
    <row r="440" spans="2:4" ht="15.75" customHeight="1">
      <c r="B440" s="79"/>
      <c r="C440" s="79"/>
      <c r="D440" s="79"/>
    </row>
    <row r="441" spans="2:4" ht="15.75" customHeight="1">
      <c r="B441" s="79"/>
      <c r="C441" s="79"/>
      <c r="D441" s="79"/>
    </row>
    <row r="442" spans="2:4" ht="15.75" customHeight="1">
      <c r="B442" s="79"/>
      <c r="C442" s="79"/>
      <c r="D442" s="79"/>
    </row>
    <row r="443" spans="2:4" ht="15.75" customHeight="1">
      <c r="B443" s="79"/>
      <c r="C443" s="79"/>
      <c r="D443" s="79"/>
    </row>
    <row r="444" spans="2:4" ht="15.75" customHeight="1">
      <c r="B444" s="79"/>
      <c r="C444" s="79"/>
      <c r="D444" s="79"/>
    </row>
    <row r="445" spans="2:4" ht="15.75" customHeight="1">
      <c r="B445" s="79"/>
      <c r="C445" s="79"/>
      <c r="D445" s="79"/>
    </row>
    <row r="446" spans="2:4" ht="15.75" customHeight="1">
      <c r="B446" s="79"/>
      <c r="C446" s="79"/>
      <c r="D446" s="79"/>
    </row>
    <row r="447" spans="2:4" ht="15.75" customHeight="1">
      <c r="B447" s="79"/>
      <c r="C447" s="79"/>
      <c r="D447" s="79"/>
    </row>
    <row r="448" spans="2:4" ht="15.75" customHeight="1">
      <c r="B448" s="79"/>
      <c r="C448" s="79"/>
      <c r="D448" s="79"/>
    </row>
    <row r="449" spans="2:4" ht="15.75" customHeight="1">
      <c r="B449" s="79"/>
      <c r="C449" s="79"/>
      <c r="D449" s="79"/>
    </row>
    <row r="450" spans="2:4" ht="15.75" customHeight="1">
      <c r="B450" s="79"/>
      <c r="C450" s="79"/>
      <c r="D450" s="79"/>
    </row>
    <row r="451" spans="2:4" ht="15.75" customHeight="1">
      <c r="B451" s="79"/>
      <c r="C451" s="79"/>
      <c r="D451" s="79"/>
    </row>
    <row r="452" spans="2:4" ht="15.75" customHeight="1">
      <c r="B452" s="79"/>
      <c r="C452" s="79"/>
      <c r="D452" s="79"/>
    </row>
    <row r="453" spans="2:4" ht="15.75" customHeight="1">
      <c r="B453" s="79"/>
      <c r="C453" s="79"/>
      <c r="D453" s="79"/>
    </row>
    <row r="454" spans="2:4" ht="15.75" customHeight="1">
      <c r="B454" s="79"/>
      <c r="C454" s="79"/>
      <c r="D454" s="79"/>
    </row>
    <row r="455" spans="2:4" ht="15.75" customHeight="1">
      <c r="B455" s="79"/>
      <c r="C455" s="79"/>
      <c r="D455" s="79"/>
    </row>
    <row r="456" spans="2:4" ht="15.75" customHeight="1">
      <c r="B456" s="79"/>
      <c r="C456" s="79"/>
      <c r="D456" s="79"/>
    </row>
    <row r="457" spans="2:4" ht="15.75" customHeight="1">
      <c r="B457" s="79"/>
      <c r="C457" s="79"/>
      <c r="D457" s="79"/>
    </row>
    <row r="458" spans="2:4" ht="15.75" customHeight="1">
      <c r="B458" s="79"/>
      <c r="C458" s="79"/>
      <c r="D458" s="79"/>
    </row>
    <row r="459" spans="2:4" ht="15.75" customHeight="1">
      <c r="B459" s="79"/>
      <c r="C459" s="79"/>
      <c r="D459" s="79"/>
    </row>
    <row r="460" spans="2:4" ht="15.75" customHeight="1">
      <c r="B460" s="79"/>
      <c r="C460" s="79"/>
      <c r="D460" s="79"/>
    </row>
    <row r="461" spans="2:4" ht="15.75" customHeight="1">
      <c r="B461" s="79"/>
      <c r="C461" s="79"/>
      <c r="D461" s="79"/>
    </row>
    <row r="462" spans="2:4" ht="15.75" customHeight="1">
      <c r="B462" s="79"/>
      <c r="C462" s="79"/>
      <c r="D462" s="79"/>
    </row>
    <row r="463" spans="2:4" ht="15.75" customHeight="1">
      <c r="B463" s="79"/>
      <c r="C463" s="79"/>
      <c r="D463" s="79"/>
    </row>
    <row r="464" spans="2:4" ht="15.75" customHeight="1">
      <c r="B464" s="79"/>
      <c r="C464" s="79"/>
      <c r="D464" s="79"/>
    </row>
    <row r="465" spans="2:4" ht="15.75" customHeight="1">
      <c r="B465" s="79"/>
      <c r="C465" s="79"/>
      <c r="D465" s="79"/>
    </row>
    <row r="466" spans="2:4" ht="15.75" customHeight="1">
      <c r="B466" s="79"/>
      <c r="C466" s="79"/>
      <c r="D466" s="79"/>
    </row>
    <row r="467" spans="2:4" ht="15.75" customHeight="1">
      <c r="B467" s="79"/>
      <c r="C467" s="79"/>
      <c r="D467" s="79"/>
    </row>
    <row r="468" spans="2:4" ht="15.75" customHeight="1">
      <c r="B468" s="79"/>
      <c r="C468" s="79"/>
      <c r="D468" s="79"/>
    </row>
    <row r="469" spans="2:4" ht="15.75" customHeight="1">
      <c r="B469" s="79"/>
      <c r="C469" s="79"/>
      <c r="D469" s="79"/>
    </row>
    <row r="470" spans="2:4" ht="15.75" customHeight="1">
      <c r="B470" s="79"/>
      <c r="C470" s="79"/>
      <c r="D470" s="79"/>
    </row>
    <row r="471" spans="2:4" ht="15.75" customHeight="1">
      <c r="B471" s="79"/>
      <c r="C471" s="79"/>
      <c r="D471" s="79"/>
    </row>
    <row r="472" spans="2:4" ht="15.75" customHeight="1">
      <c r="B472" s="79"/>
      <c r="C472" s="79"/>
      <c r="D472" s="79"/>
    </row>
    <row r="473" spans="2:4" ht="15.75" customHeight="1">
      <c r="B473" s="79"/>
      <c r="C473" s="79"/>
      <c r="D473" s="79"/>
    </row>
    <row r="474" spans="2:4" ht="15.75" customHeight="1">
      <c r="B474" s="79"/>
      <c r="C474" s="79"/>
      <c r="D474" s="79"/>
    </row>
    <row r="475" spans="2:4" ht="15.75" customHeight="1">
      <c r="B475" s="79"/>
      <c r="C475" s="79"/>
      <c r="D475" s="79"/>
    </row>
    <row r="476" spans="2:4" ht="15.75" customHeight="1">
      <c r="B476" s="79"/>
      <c r="C476" s="79"/>
      <c r="D476" s="79"/>
    </row>
    <row r="477" spans="2:4" ht="15.75" customHeight="1">
      <c r="B477" s="79"/>
      <c r="C477" s="79"/>
      <c r="D477" s="79"/>
    </row>
    <row r="478" spans="2:4" ht="15.75" customHeight="1">
      <c r="B478" s="79"/>
      <c r="C478" s="79"/>
      <c r="D478" s="79"/>
    </row>
    <row r="479" spans="2:4" ht="15.75" customHeight="1">
      <c r="B479" s="79"/>
      <c r="C479" s="79"/>
      <c r="D479" s="79"/>
    </row>
    <row r="480" spans="2:4" ht="15.75" customHeight="1">
      <c r="B480" s="79"/>
      <c r="C480" s="79"/>
      <c r="D480" s="79"/>
    </row>
    <row r="481" spans="2:4" ht="15.75" customHeight="1">
      <c r="B481" s="79"/>
      <c r="C481" s="79"/>
      <c r="D481" s="79"/>
    </row>
    <row r="482" spans="2:4" ht="15.75" customHeight="1">
      <c r="B482" s="79"/>
      <c r="C482" s="79"/>
      <c r="D482" s="79"/>
    </row>
    <row r="483" spans="2:4" ht="15.75" customHeight="1">
      <c r="B483" s="79"/>
      <c r="C483" s="79"/>
      <c r="D483" s="79"/>
    </row>
    <row r="484" spans="2:4" ht="15.75" customHeight="1">
      <c r="B484" s="79"/>
      <c r="C484" s="79"/>
      <c r="D484" s="79"/>
    </row>
    <row r="485" spans="2:4" ht="15.75" customHeight="1">
      <c r="B485" s="79"/>
      <c r="C485" s="79"/>
      <c r="D485" s="79"/>
    </row>
    <row r="486" spans="2:4" ht="15.75" customHeight="1">
      <c r="B486" s="79"/>
      <c r="C486" s="79"/>
      <c r="D486" s="79"/>
    </row>
    <row r="487" spans="2:4" ht="15.75" customHeight="1">
      <c r="B487" s="79"/>
      <c r="C487" s="79"/>
      <c r="D487" s="79"/>
    </row>
    <row r="488" spans="2:4" ht="15.75" customHeight="1">
      <c r="B488" s="79"/>
      <c r="C488" s="79"/>
      <c r="D488" s="79"/>
    </row>
    <row r="489" spans="2:4" ht="15.75" customHeight="1">
      <c r="B489" s="79"/>
      <c r="C489" s="79"/>
      <c r="D489" s="79"/>
    </row>
    <row r="490" spans="2:4" ht="15.75" customHeight="1">
      <c r="B490" s="79"/>
      <c r="C490" s="79"/>
      <c r="D490" s="79"/>
    </row>
    <row r="491" spans="2:4" ht="15.75" customHeight="1">
      <c r="B491" s="79"/>
      <c r="C491" s="79"/>
      <c r="D491" s="79"/>
    </row>
    <row r="492" spans="2:4" ht="15.75" customHeight="1">
      <c r="B492" s="79"/>
      <c r="C492" s="79"/>
      <c r="D492" s="79"/>
    </row>
    <row r="493" spans="2:4" ht="15.75" customHeight="1">
      <c r="B493" s="79"/>
      <c r="C493" s="79"/>
      <c r="D493" s="79"/>
    </row>
    <row r="494" spans="2:4" ht="15.75" customHeight="1">
      <c r="B494" s="79"/>
      <c r="C494" s="79"/>
      <c r="D494" s="79"/>
    </row>
    <row r="495" spans="2:4" ht="15.75" customHeight="1">
      <c r="B495" s="79"/>
      <c r="C495" s="79"/>
      <c r="D495" s="79"/>
    </row>
    <row r="496" spans="2:4" ht="15.75" customHeight="1">
      <c r="B496" s="79"/>
      <c r="C496" s="79"/>
      <c r="D496" s="79"/>
    </row>
    <row r="497" spans="2:4" ht="15.75" customHeight="1">
      <c r="B497" s="79"/>
      <c r="C497" s="79"/>
      <c r="D497" s="79"/>
    </row>
    <row r="498" spans="2:4" ht="15.75" customHeight="1">
      <c r="B498" s="79"/>
      <c r="C498" s="79"/>
      <c r="D498" s="79"/>
    </row>
    <row r="499" spans="2:4" ht="15.75" customHeight="1">
      <c r="B499" s="79"/>
      <c r="C499" s="79"/>
      <c r="D499" s="79"/>
    </row>
    <row r="500" spans="2:4" ht="15.75" customHeight="1">
      <c r="B500" s="79"/>
      <c r="C500" s="79"/>
      <c r="D500" s="79"/>
    </row>
    <row r="501" spans="2:4" ht="15.75" customHeight="1">
      <c r="B501" s="79"/>
      <c r="C501" s="79"/>
      <c r="D501" s="79"/>
    </row>
    <row r="502" spans="2:4" ht="15.75" customHeight="1">
      <c r="B502" s="79"/>
      <c r="C502" s="79"/>
      <c r="D502" s="79"/>
    </row>
    <row r="503" spans="2:4" ht="15.75" customHeight="1">
      <c r="B503" s="79"/>
      <c r="C503" s="79"/>
      <c r="D503" s="79"/>
    </row>
    <row r="504" spans="2:4" ht="15.75" customHeight="1">
      <c r="B504" s="79"/>
      <c r="C504" s="79"/>
      <c r="D504" s="79"/>
    </row>
    <row r="505" spans="2:4" ht="15.75" customHeight="1">
      <c r="B505" s="79"/>
      <c r="C505" s="79"/>
      <c r="D505" s="79"/>
    </row>
    <row r="506" spans="2:4" ht="15.75" customHeight="1">
      <c r="B506" s="79"/>
      <c r="C506" s="79"/>
      <c r="D506" s="79"/>
    </row>
    <row r="507" spans="2:4" ht="15.75" customHeight="1">
      <c r="B507" s="79"/>
      <c r="C507" s="79"/>
      <c r="D507" s="79"/>
    </row>
    <row r="508" spans="2:4" ht="15.75" customHeight="1">
      <c r="B508" s="79"/>
      <c r="C508" s="79"/>
      <c r="D508" s="79"/>
    </row>
    <row r="509" spans="2:4" ht="15.75" customHeight="1">
      <c r="B509" s="79"/>
      <c r="C509" s="79"/>
      <c r="D509" s="79"/>
    </row>
    <row r="510" spans="2:4" ht="15.75" customHeight="1">
      <c r="B510" s="79"/>
      <c r="C510" s="79"/>
      <c r="D510" s="79"/>
    </row>
    <row r="511" spans="2:4" ht="15.75" customHeight="1">
      <c r="B511" s="79"/>
      <c r="C511" s="79"/>
      <c r="D511" s="79"/>
    </row>
    <row r="512" spans="2:4" ht="15.75" customHeight="1">
      <c r="B512" s="79"/>
      <c r="C512" s="79"/>
      <c r="D512" s="79"/>
    </row>
    <row r="513" spans="2:4" ht="15.75" customHeight="1">
      <c r="B513" s="79"/>
      <c r="C513" s="79"/>
      <c r="D513" s="79"/>
    </row>
    <row r="514" spans="2:4" ht="15.75" customHeight="1">
      <c r="B514" s="79"/>
      <c r="C514" s="79"/>
      <c r="D514" s="79"/>
    </row>
    <row r="515" spans="2:4" ht="15.75" customHeight="1">
      <c r="B515" s="79"/>
      <c r="C515" s="79"/>
      <c r="D515" s="79"/>
    </row>
    <row r="516" spans="2:4" ht="15.75" customHeight="1">
      <c r="B516" s="79"/>
      <c r="C516" s="79"/>
      <c r="D516" s="79"/>
    </row>
    <row r="517" spans="2:4" ht="15.75" customHeight="1">
      <c r="B517" s="79"/>
      <c r="C517" s="79"/>
      <c r="D517" s="79"/>
    </row>
    <row r="518" spans="2:4" ht="15.75" customHeight="1">
      <c r="B518" s="79"/>
      <c r="C518" s="79"/>
      <c r="D518" s="79"/>
    </row>
    <row r="519" spans="2:4" ht="15.75" customHeight="1">
      <c r="B519" s="79"/>
      <c r="C519" s="79"/>
      <c r="D519" s="79"/>
    </row>
    <row r="520" spans="2:4" ht="15.75" customHeight="1">
      <c r="B520" s="79"/>
      <c r="C520" s="79"/>
      <c r="D520" s="79"/>
    </row>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sheetData>
  <sheetProtection sheet="1" objects="1" scenarios="1" selectLockedCells="1"/>
  <mergeCells count="2">
    <mergeCell ref="D1:E1"/>
    <mergeCell ref="D2:E2"/>
  </mergeCells>
  <hyperlinks>
    <hyperlink ref="D2" r:id="rId1" display="herminio@herminioduarte.c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4"/>
  <legacyDrawing r:id="rId3"/>
</worksheet>
</file>

<file path=xl/worksheets/sheet4.xml><?xml version="1.0" encoding="utf-8"?>
<worksheet xmlns="http://schemas.openxmlformats.org/spreadsheetml/2006/main" xmlns:r="http://schemas.openxmlformats.org/officeDocument/2006/relationships">
  <sheetPr codeName="Hoja2"/>
  <dimension ref="A3:T82"/>
  <sheetViews>
    <sheetView zoomScalePageLayoutView="0" workbookViewId="0" topLeftCell="A1">
      <selection activeCell="I50" sqref="I50:K50"/>
    </sheetView>
  </sheetViews>
  <sheetFormatPr defaultColWidth="11.421875" defaultRowHeight="12.75"/>
  <cols>
    <col min="1" max="1" width="3.421875" style="1" customWidth="1"/>
    <col min="2" max="2" width="15.140625" style="1" bestFit="1" customWidth="1"/>
    <col min="3" max="3" width="11.421875" style="1" customWidth="1"/>
    <col min="4" max="4" width="2.00390625" style="1" customWidth="1"/>
    <col min="5" max="5" width="8.140625" style="1" customWidth="1"/>
    <col min="6" max="6" width="5.421875" style="1" customWidth="1"/>
    <col min="7" max="7" width="6.7109375" style="1" customWidth="1"/>
    <col min="8" max="8" width="6.57421875" style="1" customWidth="1"/>
    <col min="9" max="9" width="8.7109375" style="1" customWidth="1"/>
    <col min="10" max="10" width="2.00390625" style="1" customWidth="1"/>
    <col min="11" max="11" width="6.7109375" style="1" customWidth="1"/>
    <col min="12" max="12" width="11.421875" style="1" customWidth="1"/>
    <col min="13" max="13" width="2.7109375" style="1" customWidth="1"/>
    <col min="14" max="14" width="8.140625" style="1" customWidth="1"/>
    <col min="15" max="15" width="8.421875" style="1" customWidth="1"/>
    <col min="16" max="16" width="3.57421875" style="1" customWidth="1"/>
    <col min="17" max="17" width="12.28125" style="1" customWidth="1"/>
    <col min="18" max="20" width="11.421875" style="1" customWidth="1"/>
    <col min="21" max="22" width="12.7109375" style="1" bestFit="1" customWidth="1"/>
    <col min="23" max="16384" width="11.421875" style="1" customWidth="1"/>
  </cols>
  <sheetData>
    <row r="1" ht="6.75" customHeight="1"/>
    <row r="2" ht="7.5" customHeight="1" thickBot="1"/>
    <row r="3" spans="2:17" ht="13.5" thickBot="1">
      <c r="B3" s="2" t="s">
        <v>11</v>
      </c>
      <c r="C3" s="55"/>
      <c r="D3" s="56" t="s">
        <v>45</v>
      </c>
      <c r="E3" s="56"/>
      <c r="F3" s="56"/>
      <c r="G3" s="56"/>
      <c r="H3" s="56"/>
      <c r="I3" s="56"/>
      <c r="J3" s="56"/>
      <c r="K3" s="56"/>
      <c r="L3" s="57"/>
      <c r="M3" s="5"/>
      <c r="N3" s="6" t="s">
        <v>35</v>
      </c>
      <c r="O3" s="7"/>
      <c r="Q3" s="66">
        <v>41640</v>
      </c>
    </row>
    <row r="4" spans="2:15" ht="13.5" thickBot="1">
      <c r="B4" s="8" t="s">
        <v>12</v>
      </c>
      <c r="C4" s="58"/>
      <c r="D4" s="59"/>
      <c r="E4" s="59"/>
      <c r="F4" s="59"/>
      <c r="G4" s="59"/>
      <c r="H4" s="59"/>
      <c r="I4" s="59"/>
      <c r="J4" s="59"/>
      <c r="K4" s="59"/>
      <c r="L4" s="59"/>
      <c r="M4" s="10"/>
      <c r="N4" s="10"/>
      <c r="O4" s="11"/>
    </row>
    <row r="5" ht="6.75" customHeight="1" thickBot="1"/>
    <row r="6" spans="2:17" ht="15">
      <c r="B6" s="2" t="s">
        <v>13</v>
      </c>
      <c r="C6" s="3"/>
      <c r="D6" s="4"/>
      <c r="G6" s="255" t="s">
        <v>37</v>
      </c>
      <c r="H6" s="255"/>
      <c r="I6" s="255"/>
      <c r="J6" s="255"/>
      <c r="K6" s="256"/>
      <c r="L6" s="215" t="s">
        <v>43</v>
      </c>
      <c r="M6" s="216"/>
      <c r="N6" s="216"/>
      <c r="O6" s="13">
        <v>3</v>
      </c>
      <c r="Q6" s="14" t="b">
        <v>1</v>
      </c>
    </row>
    <row r="7" spans="2:17" ht="12.75">
      <c r="B7" s="15" t="s">
        <v>14</v>
      </c>
      <c r="C7" s="80">
        <v>36570</v>
      </c>
      <c r="D7" s="17"/>
      <c r="E7" s="64">
        <v>3000</v>
      </c>
      <c r="G7" s="257" t="s">
        <v>38</v>
      </c>
      <c r="H7" s="257"/>
      <c r="I7" s="257"/>
      <c r="J7" s="257"/>
      <c r="K7" s="258"/>
      <c r="L7" s="81">
        <v>67.23</v>
      </c>
      <c r="M7" s="19" t="str">
        <f>IF(O6="","Seleccione periodicidad del salario ",IF(O6=3," / día",IF(O6=2," / mes",IF(O6=1," / año"))))</f>
        <v> / día</v>
      </c>
      <c r="N7" s="18"/>
      <c r="O7" s="17"/>
      <c r="Q7" s="20" t="s">
        <v>17</v>
      </c>
    </row>
    <row r="8" spans="2:17" ht="17.25">
      <c r="B8" s="15" t="s">
        <v>15</v>
      </c>
      <c r="C8" s="16">
        <f>'CALCULO MASIVO'!C2</f>
        <v>42873</v>
      </c>
      <c r="D8" s="17"/>
      <c r="G8" s="259" t="s">
        <v>39</v>
      </c>
      <c r="H8" s="259"/>
      <c r="I8" s="259"/>
      <c r="J8" s="259"/>
      <c r="K8" s="260"/>
      <c r="L8" s="21"/>
      <c r="M8" s="22"/>
      <c r="N8" s="22"/>
      <c r="O8" s="23"/>
      <c r="Q8" s="20" t="s">
        <v>18</v>
      </c>
    </row>
    <row r="9" spans="2:19" ht="18" thickBot="1">
      <c r="B9" s="24" t="s">
        <v>16</v>
      </c>
      <c r="C9" s="25">
        <f>C8</f>
        <v>42873</v>
      </c>
      <c r="D9" s="26"/>
      <c r="G9" s="259" t="s">
        <v>40</v>
      </c>
      <c r="H9" s="259"/>
      <c r="I9" s="259"/>
      <c r="J9" s="259"/>
      <c r="K9" s="260"/>
      <c r="L9" s="72">
        <v>30</v>
      </c>
      <c r="M9" s="69">
        <f>IF(O6="","Seleccione periodicidad del salario ",IF(O6=3,"",IF(O6=2,"dias / mes",IF(O6=1,""))))</f>
      </c>
      <c r="N9" s="9"/>
      <c r="O9" s="70"/>
      <c r="Q9" s="20" t="s">
        <v>19</v>
      </c>
      <c r="R9" s="66"/>
      <c r="S9" s="66"/>
    </row>
    <row r="10" ht="6.75" customHeight="1" thickBot="1"/>
    <row r="11" spans="2:15" ht="12.75">
      <c r="B11" s="2" t="s">
        <v>22</v>
      </c>
      <c r="C11" s="3"/>
      <c r="D11" s="3"/>
      <c r="E11" s="3"/>
      <c r="F11" s="3"/>
      <c r="G11" s="3"/>
      <c r="H11" s="3"/>
      <c r="I11" s="3"/>
      <c r="J11" s="3"/>
      <c r="K11" s="3"/>
      <c r="L11" s="3"/>
      <c r="M11" s="3"/>
      <c r="N11" s="3"/>
      <c r="O11" s="4"/>
    </row>
    <row r="12" spans="2:15" ht="5.25" customHeight="1">
      <c r="B12" s="27"/>
      <c r="C12" s="18"/>
      <c r="D12" s="18"/>
      <c r="E12" s="18"/>
      <c r="F12" s="18"/>
      <c r="G12" s="18"/>
      <c r="H12" s="18"/>
      <c r="I12" s="18"/>
      <c r="J12" s="18"/>
      <c r="K12" s="18"/>
      <c r="L12" s="18"/>
      <c r="M12" s="18"/>
      <c r="N12" s="18"/>
      <c r="O12" s="17"/>
    </row>
    <row r="13" spans="2:15" ht="12.75">
      <c r="B13" s="65"/>
      <c r="C13" s="67" t="s">
        <v>41</v>
      </c>
      <c r="D13" s="222">
        <v>40950</v>
      </c>
      <c r="E13" s="222"/>
      <c r="F13" s="223"/>
      <c r="G13" s="29"/>
      <c r="H13" s="18"/>
      <c r="I13" s="224" t="s">
        <v>42</v>
      </c>
      <c r="J13" s="225"/>
      <c r="K13" s="222">
        <v>40951</v>
      </c>
      <c r="L13" s="223"/>
      <c r="M13" s="29"/>
      <c r="N13" s="30" t="s">
        <v>3</v>
      </c>
      <c r="O13" s="17"/>
    </row>
    <row r="14" spans="2:15" ht="12.75">
      <c r="B14" s="15">
        <f>IF(C7&gt;D13,0,IF(C8&gt;D13,DATEDIF(C7-1,"11/02/2012","Y"),DATEDIF(C7-1,C8,"Y")))</f>
        <v>11</v>
      </c>
      <c r="C14" s="29" t="s">
        <v>5</v>
      </c>
      <c r="D14" s="18"/>
      <c r="E14" s="18">
        <f>B14*45</f>
        <v>495</v>
      </c>
      <c r="F14" s="29" t="s">
        <v>1</v>
      </c>
      <c r="G14" s="18"/>
      <c r="H14" s="1">
        <f>IF(C8&lt;K13,0,IF(C7&gt;K13,DATEDIF(C7-1,C8,"Y"),DATEDIF("12/02/2012",C8+1,"Y")))</f>
        <v>5</v>
      </c>
      <c r="I14" s="29" t="s">
        <v>5</v>
      </c>
      <c r="J14" s="18"/>
      <c r="K14" s="18">
        <f>H14*33</f>
        <v>165</v>
      </c>
      <c r="L14" s="29" t="s">
        <v>1</v>
      </c>
      <c r="M14" s="18"/>
      <c r="N14" s="18">
        <f>DATEDIF(C7-1,C8,"y")</f>
        <v>17</v>
      </c>
      <c r="O14" s="31" t="s">
        <v>5</v>
      </c>
    </row>
    <row r="15" spans="2:15" ht="12.75">
      <c r="B15" s="15">
        <f>IF(C7&gt;D13,0,IF(C8&gt;D13,DATEDIF(C7-1,"11/02/2012","YM"),DATEDIF(C7-1,C8,"YM")))</f>
        <v>11</v>
      </c>
      <c r="C15" s="29" t="s">
        <v>6</v>
      </c>
      <c r="D15" s="18"/>
      <c r="E15" s="18">
        <f>ROUND((B15/12)*45,2)</f>
        <v>41.25</v>
      </c>
      <c r="F15" s="29" t="s">
        <v>1</v>
      </c>
      <c r="G15" s="18"/>
      <c r="H15" s="18">
        <f>IF(C8&lt;K13,0,IF(C7&gt;K13,DATEDIF(C7-1,C8,"YM"),DATEDIF("12/02/2012",C8+1,"YM")))</f>
        <v>3</v>
      </c>
      <c r="I15" s="29" t="s">
        <v>6</v>
      </c>
      <c r="J15" s="18"/>
      <c r="K15" s="18">
        <f>ROUND((H15/12)*33,2)</f>
        <v>8.25</v>
      </c>
      <c r="L15" s="29" t="s">
        <v>1</v>
      </c>
      <c r="M15" s="18"/>
      <c r="N15" s="18">
        <f>DATEDIF(C7-1,C8,"YM")</f>
        <v>3</v>
      </c>
      <c r="O15" s="31" t="s">
        <v>6</v>
      </c>
    </row>
    <row r="16" spans="2:20" ht="12.75">
      <c r="B16" s="32">
        <f>IF(C7&gt;D13,0,IF(C8&gt;D13,DATEDIF(C7-1,"11/02/2012","MD"),DATEDIF(C7-1,C8,"MD")))</f>
        <v>29</v>
      </c>
      <c r="C16" s="33" t="s">
        <v>1</v>
      </c>
      <c r="D16" s="34"/>
      <c r="E16" s="34">
        <f>ROUND(IF(B16&gt;0,45/12,0),2)</f>
        <v>3.75</v>
      </c>
      <c r="F16" s="33" t="s">
        <v>1</v>
      </c>
      <c r="G16" s="18"/>
      <c r="H16" s="34">
        <f>IF(C8&lt;K13,0,IF(C7&gt;K13,DATEDIF(C7-1,C8,"MD"),DATEDIF("12/02/2012",C8+1,"MD")))</f>
        <v>7</v>
      </c>
      <c r="I16" s="33" t="s">
        <v>1</v>
      </c>
      <c r="J16" s="34"/>
      <c r="K16" s="34">
        <f>ROUND(IF(H16&gt;0,33/12,0),2)</f>
        <v>2.75</v>
      </c>
      <c r="L16" s="33" t="s">
        <v>1</v>
      </c>
      <c r="M16" s="18"/>
      <c r="N16" s="18">
        <f>DATEDIF(C7-1,C8,"MD")</f>
        <v>5</v>
      </c>
      <c r="O16" s="31" t="s">
        <v>1</v>
      </c>
      <c r="S16" s="66"/>
      <c r="T16" s="66"/>
    </row>
    <row r="17" spans="2:15" ht="12.75">
      <c r="B17" s="15"/>
      <c r="C17" s="18"/>
      <c r="D17" s="18"/>
      <c r="E17" s="60">
        <f>SUM(E14:E16)</f>
        <v>540</v>
      </c>
      <c r="F17" s="36" t="s">
        <v>1</v>
      </c>
      <c r="G17" s="18"/>
      <c r="H17" s="18"/>
      <c r="I17" s="18"/>
      <c r="J17" s="18"/>
      <c r="K17" s="35">
        <f>SUM(K14:K16)</f>
        <v>176</v>
      </c>
      <c r="L17" s="36" t="s">
        <v>1</v>
      </c>
      <c r="M17" s="18"/>
      <c r="N17" s="91">
        <f>N14*12+N15+IF(N16&gt;0,1,0)</f>
        <v>208</v>
      </c>
      <c r="O17" s="147" t="s">
        <v>6</v>
      </c>
    </row>
    <row r="18" spans="2:15" ht="12.75">
      <c r="B18" s="15"/>
      <c r="C18" s="18"/>
      <c r="D18" s="18"/>
      <c r="E18" s="54">
        <f>IF(C8&lt;DATE(2012,2,12),"Atención: la fecha de despido es anterior a la publicación del RDL 3/2012","")</f>
      </c>
      <c r="F18" s="18"/>
      <c r="G18" s="18"/>
      <c r="I18" s="18"/>
      <c r="J18" s="18"/>
      <c r="K18" s="18"/>
      <c r="L18" s="18"/>
      <c r="M18" s="18"/>
      <c r="N18" s="18"/>
      <c r="O18" s="17"/>
    </row>
    <row r="19" spans="2:15" ht="12.75">
      <c r="B19" s="15"/>
      <c r="C19" s="35" t="s">
        <v>0</v>
      </c>
      <c r="D19" s="35"/>
      <c r="E19" s="35"/>
      <c r="F19" s="35"/>
      <c r="G19" s="35">
        <f>IF((E17+K17)&gt;720,IF(E17&gt;1260,1260,IF(E17&lt;720,720,E17)),(E17+K17))</f>
        <v>716</v>
      </c>
      <c r="H19" s="35" t="s">
        <v>10</v>
      </c>
      <c r="I19" s="35"/>
      <c r="J19" s="35" t="s">
        <v>20</v>
      </c>
      <c r="K19" s="35">
        <f>IF(O6="","Seleccione periodicidad del salario",IF(O6=3,L7,IF(O6=2,L7/L9,IF(O6=1,L7/365))))</f>
        <v>67.23</v>
      </c>
      <c r="L19" s="35" t="s">
        <v>7</v>
      </c>
      <c r="M19" s="35" t="s">
        <v>21</v>
      </c>
      <c r="N19" s="247">
        <f>IF((E17+K17)&gt;720,IF(E17&gt;1260,K19*1260,IF(E17&lt;720,K19*720,E17*K19)),(E17+K17)*K19)</f>
        <v>48136.68</v>
      </c>
      <c r="O19" s="247"/>
    </row>
    <row r="20" spans="2:15" ht="12.75" thickBot="1">
      <c r="B20" s="37">
        <f>IF((E17+K17)&gt;720,IF(E17&gt;1260,"Se aplica el límite, 42 mensualidades por el periodo anterior al 12/02/2012",IF(E17&lt;720,"Se aplica el límite de 720 días","La indemnización es mayor de 720 días, sólo computa el periodo anterior al 12/02/2012")),"")</f>
      </c>
      <c r="C20" s="9"/>
      <c r="D20" s="9"/>
      <c r="E20" s="9"/>
      <c r="F20" s="9"/>
      <c r="G20" s="9"/>
      <c r="H20" s="9"/>
      <c r="I20" s="9"/>
      <c r="J20" s="9"/>
      <c r="K20" s="9"/>
      <c r="L20" s="9"/>
      <c r="M20" s="9"/>
      <c r="N20" s="9"/>
      <c r="O20" s="26"/>
    </row>
    <row r="21" ht="6.75" customHeight="1" thickBot="1"/>
    <row r="22" spans="2:15" ht="12.75">
      <c r="B22" s="2" t="s">
        <v>23</v>
      </c>
      <c r="C22" s="3"/>
      <c r="D22" s="3"/>
      <c r="E22" s="3"/>
      <c r="F22" s="3"/>
      <c r="G22" s="3"/>
      <c r="H22" s="38">
        <f>IF(G24&gt;=366,365/20*8,N14*8+ROUND(IF(N15&gt;0,(N15/12)*8,0),2)+ROUND(IF(N16&gt;0,8/12,0),2))</f>
        <v>138.67</v>
      </c>
      <c r="I22" s="38">
        <f>IF(K24&gt;C24,C24,K24)</f>
        <v>67.23</v>
      </c>
      <c r="J22" s="3"/>
      <c r="K22" s="3"/>
      <c r="L22" s="3"/>
      <c r="M22" s="3"/>
      <c r="N22" s="3"/>
      <c r="O22" s="4"/>
    </row>
    <row r="23" spans="2:15" ht="4.5" customHeight="1">
      <c r="B23" s="15"/>
      <c r="C23" s="18"/>
      <c r="D23" s="18"/>
      <c r="E23" s="18"/>
      <c r="F23" s="18"/>
      <c r="G23" s="18"/>
      <c r="H23" s="18"/>
      <c r="I23" s="18"/>
      <c r="J23" s="18"/>
      <c r="K23" s="18"/>
      <c r="L23" s="18"/>
      <c r="M23" s="18"/>
      <c r="N23" s="18"/>
      <c r="O23" s="17"/>
    </row>
    <row r="24" spans="2:15" ht="12.75">
      <c r="B24" s="68" t="s">
        <v>44</v>
      </c>
      <c r="C24" s="71">
        <f>CALCULADORA!N69</f>
        <v>83.84</v>
      </c>
      <c r="D24" s="18"/>
      <c r="E24" s="18"/>
      <c r="F24" s="18"/>
      <c r="G24" s="35">
        <f>IF(I25&gt;360,360,I25)</f>
        <v>346.67</v>
      </c>
      <c r="H24" s="35" t="s">
        <v>24</v>
      </c>
      <c r="I24" s="35"/>
      <c r="J24" s="35" t="s">
        <v>20</v>
      </c>
      <c r="K24" s="35">
        <f>K19</f>
        <v>67.23</v>
      </c>
      <c r="L24" s="35" t="s">
        <v>7</v>
      </c>
      <c r="M24" s="35" t="s">
        <v>21</v>
      </c>
      <c r="N24" s="211">
        <f>IF(I25&gt;360,K24*360,I25*K24)</f>
        <v>23306.6241</v>
      </c>
      <c r="O24" s="212"/>
    </row>
    <row r="25" spans="2:15" ht="12.75">
      <c r="B25" s="39">
        <f>IF(I25&gt;360,"Se aplica límite: 12 meses en lugar de ","")</f>
      </c>
      <c r="C25" s="18"/>
      <c r="D25" s="18"/>
      <c r="E25" s="18"/>
      <c r="F25" s="61">
        <f>IF(I25&gt;365,I25,"")</f>
      </c>
      <c r="G25" s="61">
        <f>IF(I25&gt;365,"dias","")</f>
      </c>
      <c r="I25" s="62">
        <f>N14*20+ROUND(IF(N15&gt;0,(N15/12)*20,0),2)+ROUND(IF(N16&gt;0,20/12,0),2)</f>
        <v>346.67</v>
      </c>
      <c r="J25" s="18"/>
      <c r="K25" s="18"/>
      <c r="L25" s="18"/>
      <c r="M25" s="40" t="str">
        <f>IF(Q6=TRUE,"A cargo del FOGASA","")</f>
        <v>A cargo del FOGASA</v>
      </c>
      <c r="N25" s="239">
        <f>IF(AND(Q6,C8&lt;Q3),I22*H22,"")</f>
      </c>
      <c r="O25" s="242"/>
    </row>
    <row r="26" spans="2:15" ht="12.75" thickBot="1">
      <c r="B26" s="37">
        <f>IF(Q6,IF(K24&gt;C24,"Se aplica límite FOGASA: doble del SMI",""),"")</f>
      </c>
      <c r="C26" s="9"/>
      <c r="D26" s="9"/>
      <c r="E26" s="9"/>
      <c r="F26" s="9"/>
      <c r="G26" s="9"/>
      <c r="H26" s="9"/>
      <c r="I26" s="9"/>
      <c r="J26" s="9"/>
      <c r="K26" s="9"/>
      <c r="L26" s="9"/>
      <c r="M26" s="41" t="str">
        <f>IF(Q6=TRUE,"A cargo de la empresa","")</f>
        <v>A cargo de la empresa</v>
      </c>
      <c r="N26" s="218">
        <f>IF(AND(Q6,C8&lt;Q3),N24-N25,"")</f>
      </c>
      <c r="O26" s="219"/>
    </row>
    <row r="27" spans="3:4" ht="6" customHeight="1" thickBot="1">
      <c r="C27" s="42"/>
      <c r="D27" s="43"/>
    </row>
    <row r="28" spans="2:15" ht="12.75">
      <c r="B28" s="2" t="s">
        <v>25</v>
      </c>
      <c r="C28" s="3"/>
      <c r="D28" s="3"/>
      <c r="E28" s="3"/>
      <c r="F28" s="3"/>
      <c r="G28" s="3"/>
      <c r="H28" s="3"/>
      <c r="I28" s="3"/>
      <c r="J28" s="3"/>
      <c r="K28" s="3"/>
      <c r="L28" s="3"/>
      <c r="M28" s="3"/>
      <c r="N28" s="3"/>
      <c r="O28" s="4"/>
    </row>
    <row r="29" spans="2:15" ht="3.75" customHeight="1">
      <c r="B29" s="15"/>
      <c r="C29" s="18"/>
      <c r="D29" s="18"/>
      <c r="E29" s="18"/>
      <c r="F29" s="18"/>
      <c r="G29" s="18"/>
      <c r="H29" s="18"/>
      <c r="I29" s="18"/>
      <c r="J29" s="18"/>
      <c r="K29" s="18"/>
      <c r="L29" s="18"/>
      <c r="M29" s="18"/>
      <c r="N29" s="18"/>
      <c r="O29" s="17"/>
    </row>
    <row r="30" spans="2:15" ht="12.75">
      <c r="B30" s="44" t="s">
        <v>8</v>
      </c>
      <c r="C30" s="45"/>
      <c r="D30" s="45" t="s">
        <v>26</v>
      </c>
      <c r="E30" s="46">
        <f>'CALCULO MASIVO'!G2</f>
        <v>30</v>
      </c>
      <c r="F30" s="45" t="s">
        <v>27</v>
      </c>
      <c r="G30" s="47"/>
      <c r="H30" s="28" t="s">
        <v>9</v>
      </c>
      <c r="I30" s="45"/>
      <c r="J30" s="45" t="s">
        <v>28</v>
      </c>
      <c r="K30" s="46">
        <f>E30</f>
        <v>30</v>
      </c>
      <c r="L30" s="47" t="s">
        <v>27</v>
      </c>
      <c r="M30" s="18"/>
      <c r="N30" s="30" t="s">
        <v>3</v>
      </c>
      <c r="O30" s="17"/>
    </row>
    <row r="31" spans="2:15" ht="12.75">
      <c r="B31" s="15">
        <f>B14</f>
        <v>11</v>
      </c>
      <c r="C31" s="18" t="s">
        <v>5</v>
      </c>
      <c r="D31" s="18"/>
      <c r="E31" s="18">
        <f>B31*E30</f>
        <v>330</v>
      </c>
      <c r="F31" s="18" t="s">
        <v>1</v>
      </c>
      <c r="G31" s="18"/>
      <c r="H31" s="18">
        <f>H14</f>
        <v>5</v>
      </c>
      <c r="I31" s="18" t="s">
        <v>5</v>
      </c>
      <c r="J31" s="18"/>
      <c r="K31" s="18">
        <f>H31*K30</f>
        <v>150</v>
      </c>
      <c r="L31" s="18" t="s">
        <v>1</v>
      </c>
      <c r="M31" s="18"/>
      <c r="N31" s="18">
        <f>N14</f>
        <v>17</v>
      </c>
      <c r="O31" s="17" t="s">
        <v>5</v>
      </c>
    </row>
    <row r="32" spans="2:15" ht="12.75">
      <c r="B32" s="15">
        <f>B15</f>
        <v>11</v>
      </c>
      <c r="C32" s="18" t="s">
        <v>6</v>
      </c>
      <c r="D32" s="18"/>
      <c r="E32" s="18">
        <f>ROUND((B32/12)*E30,2)</f>
        <v>27.5</v>
      </c>
      <c r="F32" s="18" t="s">
        <v>1</v>
      </c>
      <c r="G32" s="18"/>
      <c r="H32" s="18">
        <f>H15</f>
        <v>3</v>
      </c>
      <c r="I32" s="18" t="s">
        <v>6</v>
      </c>
      <c r="J32" s="18"/>
      <c r="K32" s="18">
        <f>ROUND((H32/12)*K30,2)</f>
        <v>7.5</v>
      </c>
      <c r="L32" s="18" t="s">
        <v>1</v>
      </c>
      <c r="M32" s="18"/>
      <c r="N32" s="18">
        <f>N15</f>
        <v>3</v>
      </c>
      <c r="O32" s="17" t="s">
        <v>6</v>
      </c>
    </row>
    <row r="33" spans="2:15" ht="12.75">
      <c r="B33" s="32">
        <f>B16</f>
        <v>29</v>
      </c>
      <c r="C33" s="34" t="s">
        <v>1</v>
      </c>
      <c r="D33" s="34"/>
      <c r="E33" s="34">
        <f>ROUND(IF(B33&gt;0,E30/12,0),2)</f>
        <v>2.5</v>
      </c>
      <c r="F33" s="34" t="s">
        <v>1</v>
      </c>
      <c r="G33" s="18"/>
      <c r="H33" s="34">
        <f>H16</f>
        <v>7</v>
      </c>
      <c r="I33" s="34" t="s">
        <v>1</v>
      </c>
      <c r="J33" s="34"/>
      <c r="K33" s="34">
        <f>ROUND(IF(H33&gt;0,K30/12,0),2)</f>
        <v>2.5</v>
      </c>
      <c r="L33" s="34" t="s">
        <v>1</v>
      </c>
      <c r="M33" s="18"/>
      <c r="N33" s="18">
        <f>N16</f>
        <v>5</v>
      </c>
      <c r="O33" s="17" t="s">
        <v>1</v>
      </c>
    </row>
    <row r="34" spans="2:15" ht="12.75">
      <c r="B34" s="15"/>
      <c r="C34" s="18"/>
      <c r="D34" s="18"/>
      <c r="E34" s="60">
        <f>SUM(E31:E33)</f>
        <v>360</v>
      </c>
      <c r="F34" s="35" t="s">
        <v>1</v>
      </c>
      <c r="G34" s="18"/>
      <c r="H34" s="18"/>
      <c r="I34" s="18"/>
      <c r="J34" s="18"/>
      <c r="K34" s="35">
        <f>IF(SUM(K31:K33)&gt;0,SUM(K31:K33),0)</f>
        <v>160</v>
      </c>
      <c r="L34" s="35" t="s">
        <v>1</v>
      </c>
      <c r="M34" s="18"/>
      <c r="N34" s="18"/>
      <c r="O34" s="17"/>
    </row>
    <row r="35" spans="2:15" ht="6.75" customHeight="1">
      <c r="B35" s="15"/>
      <c r="C35" s="18"/>
      <c r="D35" s="18"/>
      <c r="E35" s="18"/>
      <c r="F35" s="18"/>
      <c r="G35" s="18"/>
      <c r="H35" s="18"/>
      <c r="I35" s="18"/>
      <c r="J35" s="18"/>
      <c r="K35" s="18"/>
      <c r="L35" s="18"/>
      <c r="M35" s="18"/>
      <c r="N35" s="18"/>
      <c r="O35" s="17"/>
    </row>
    <row r="36" spans="2:17" ht="12.75">
      <c r="B36" s="15"/>
      <c r="C36" s="35" t="s">
        <v>0</v>
      </c>
      <c r="D36" s="35"/>
      <c r="E36" s="35"/>
      <c r="F36" s="35"/>
      <c r="G36" s="35">
        <f>IF((K34+E34)&gt;720,IF(E34&gt;1260,1260,IF(E34&lt;720,720,E34)),(K34+E34))</f>
        <v>520</v>
      </c>
      <c r="H36" s="35" t="s">
        <v>10</v>
      </c>
      <c r="I36" s="35"/>
      <c r="J36" s="35" t="s">
        <v>20</v>
      </c>
      <c r="K36" s="35">
        <f>K19</f>
        <v>67.23</v>
      </c>
      <c r="L36" s="35" t="s">
        <v>7</v>
      </c>
      <c r="M36" s="35" t="s">
        <v>21</v>
      </c>
      <c r="N36" s="211">
        <f>IF((K34+E34)&gt;720,IF(E34&gt;1260,K36*1260,IF(E34&lt;720,K36*720,E34*K36)),(K34+E34)*K36)</f>
        <v>34959.6</v>
      </c>
      <c r="O36" s="212"/>
      <c r="Q36" s="63"/>
    </row>
    <row r="37" spans="2:15" ht="12.75" thickBot="1">
      <c r="B37" s="37">
        <f>IF(G36&gt;720,IF(E34&gt;1260,"Se aplica el límite, 42 mensualidades por el periodo anterior al 12/02/2012",IF(E34&lt;720,"Se aplica el límite de 720 días","La indemnización es mayor de 720 días, sólo computa el periodo anterior al 12/02/2012")),"")</f>
      </c>
      <c r="C37" s="9"/>
      <c r="D37" s="9"/>
      <c r="E37" s="9"/>
      <c r="F37" s="9"/>
      <c r="G37" s="9"/>
      <c r="H37" s="9"/>
      <c r="I37" s="9"/>
      <c r="J37" s="9"/>
      <c r="K37" s="9"/>
      <c r="L37" s="9"/>
      <c r="M37" s="9"/>
      <c r="N37" s="203"/>
      <c r="O37" s="204"/>
    </row>
    <row r="38" ht="6" customHeight="1" thickBot="1"/>
    <row r="39" spans="2:15" ht="12.75">
      <c r="B39" s="2" t="s">
        <v>74</v>
      </c>
      <c r="C39" s="3"/>
      <c r="D39" s="3"/>
      <c r="E39" s="3"/>
      <c r="F39" s="3"/>
      <c r="G39" s="3"/>
      <c r="H39" s="38">
        <f>IF(G41&gt;=366,365/20*8,N31*8+ROUND(IF(N32&gt;0,(N32/12)*8,0),2)+ROUND(IF(N33&gt;0,8/12,0),2))</f>
        <v>138.67</v>
      </c>
      <c r="I39" s="38">
        <f>IF(K41&gt;C41,C41,K41)</f>
        <v>0</v>
      </c>
      <c r="J39" s="3"/>
      <c r="K39" s="3"/>
      <c r="L39" s="3"/>
      <c r="M39" s="3"/>
      <c r="N39" s="3"/>
      <c r="O39" s="4"/>
    </row>
    <row r="40" spans="2:15" ht="5.25" customHeight="1">
      <c r="B40" s="15"/>
      <c r="C40" s="18"/>
      <c r="D40" s="18"/>
      <c r="E40" s="18"/>
      <c r="F40" s="18"/>
      <c r="G40" s="18"/>
      <c r="H40" s="18"/>
      <c r="I40" s="18"/>
      <c r="J40" s="18"/>
      <c r="K40" s="18"/>
      <c r="L40" s="18"/>
      <c r="M40" s="18"/>
      <c r="N40" s="18"/>
      <c r="O40" s="17"/>
    </row>
    <row r="41" spans="2:15" ht="12.75">
      <c r="B41" s="209" t="str">
        <f>IF($N$17*(20/12)&gt;270,"Límite: 9 meses en lugar de ","")</f>
        <v>Límite: 9 meses en lugar de </v>
      </c>
      <c r="C41" s="210"/>
      <c r="D41" s="210"/>
      <c r="E41" s="164">
        <f>IF($N$17*(20/12)&gt;270,$N$17*(20/12),"")</f>
        <v>346.6666666666667</v>
      </c>
      <c r="F41" s="18"/>
      <c r="G41" s="35">
        <f>IF($N$17*(20/12)&gt;270,270,$N$17*(20/12))</f>
        <v>270</v>
      </c>
      <c r="H41" s="35" t="s">
        <v>24</v>
      </c>
      <c r="I41" s="35"/>
      <c r="J41" s="35" t="s">
        <v>20</v>
      </c>
      <c r="K41" s="35">
        <f>K36</f>
        <v>67.23</v>
      </c>
      <c r="L41" s="35" t="s">
        <v>7</v>
      </c>
      <c r="M41" s="35" t="s">
        <v>21</v>
      </c>
      <c r="N41" s="211">
        <f>K41*G41</f>
        <v>18152.100000000002</v>
      </c>
      <c r="O41" s="212"/>
    </row>
    <row r="42" spans="2:15" ht="12.75">
      <c r="B42" s="39"/>
      <c r="C42" s="18"/>
      <c r="D42" s="18"/>
      <c r="E42" s="18"/>
      <c r="F42" s="61">
        <f>IF(I42&gt;365,I42,"")</f>
      </c>
      <c r="G42" s="61"/>
      <c r="I42" s="62"/>
      <c r="J42" s="18"/>
      <c r="K42" s="18"/>
      <c r="L42" s="18"/>
      <c r="M42" s="40">
        <f>IF(Q23=TRUE,"A cargo del FOGASA","")</f>
      </c>
      <c r="N42" s="239">
        <f>IF(AND(Q23,C25&lt;Q20),I39*H39,"")</f>
      </c>
      <c r="O42" s="242"/>
    </row>
    <row r="43" spans="2:15" ht="12.75" thickBot="1">
      <c r="B43" s="37">
        <f>IF(Q23,IF(K41&gt;C41,"Se aplica límite FOGASA: doble del SMI",""),"")</f>
      </c>
      <c r="C43" s="9"/>
      <c r="D43" s="9"/>
      <c r="E43" s="9"/>
      <c r="F43" s="9"/>
      <c r="G43" s="9"/>
      <c r="H43" s="9"/>
      <c r="I43" s="9"/>
      <c r="J43" s="9"/>
      <c r="K43" s="9"/>
      <c r="L43" s="9"/>
      <c r="M43" s="41">
        <f>IF(Q23=TRUE,"A cargo de la empresa","")</f>
      </c>
      <c r="N43" s="218">
        <f>IF(AND(Q23,C25&lt;Q20),N41-N42,"")</f>
      </c>
      <c r="O43" s="219"/>
    </row>
    <row r="44" spans="2:15" ht="12.75">
      <c r="B44" s="18"/>
      <c r="C44" s="18"/>
      <c r="D44" s="18"/>
      <c r="E44" s="18"/>
      <c r="F44" s="18"/>
      <c r="G44" s="18"/>
      <c r="H44" s="48"/>
      <c r="I44" s="243"/>
      <c r="J44" s="243"/>
      <c r="K44" s="18"/>
      <c r="L44" s="18"/>
      <c r="M44" s="18"/>
      <c r="N44" s="239"/>
      <c r="O44" s="239"/>
    </row>
    <row r="45" spans="2:15" ht="12.75">
      <c r="B45" s="18"/>
      <c r="C45" s="18"/>
      <c r="D45" s="18"/>
      <c r="E45" s="18"/>
      <c r="F45" s="18"/>
      <c r="G45" s="18"/>
      <c r="H45" s="18"/>
      <c r="I45" s="18"/>
      <c r="J45" s="18"/>
      <c r="K45" s="35"/>
      <c r="L45" s="35"/>
      <c r="M45" s="35"/>
      <c r="N45" s="261"/>
      <c r="O45" s="261"/>
    </row>
    <row r="46" spans="2:15" ht="3" customHeight="1">
      <c r="B46" s="18"/>
      <c r="C46" s="18"/>
      <c r="D46" s="18"/>
      <c r="E46" s="18"/>
      <c r="F46" s="18"/>
      <c r="G46" s="18"/>
      <c r="H46" s="18"/>
      <c r="I46" s="18"/>
      <c r="J46" s="18"/>
      <c r="K46" s="18"/>
      <c r="L46" s="18"/>
      <c r="M46" s="18"/>
      <c r="N46" s="18"/>
      <c r="O46" s="18"/>
    </row>
    <row r="47" ht="12.75" thickBot="1"/>
    <row r="48" spans="2:15" ht="12.75">
      <c r="B48" s="2" t="s">
        <v>4</v>
      </c>
      <c r="C48" s="12"/>
      <c r="D48" s="3"/>
      <c r="E48" s="3"/>
      <c r="F48" s="3"/>
      <c r="G48" s="3" t="s">
        <v>22</v>
      </c>
      <c r="H48" s="3"/>
      <c r="I48" s="3"/>
      <c r="J48" s="3"/>
      <c r="K48" s="3"/>
      <c r="L48" s="3"/>
      <c r="M48" s="3"/>
      <c r="N48" s="3"/>
      <c r="O48" s="4"/>
    </row>
    <row r="49" spans="2:15" ht="6" customHeight="1">
      <c r="B49" s="15"/>
      <c r="C49" s="18"/>
      <c r="D49" s="18"/>
      <c r="E49" s="18"/>
      <c r="F49" s="18"/>
      <c r="G49" s="18"/>
      <c r="H49" s="18"/>
      <c r="I49" s="18"/>
      <c r="J49" s="18"/>
      <c r="K49" s="18"/>
      <c r="L49" s="18"/>
      <c r="M49" s="18"/>
      <c r="N49" s="18"/>
      <c r="O49" s="17"/>
    </row>
    <row r="50" spans="2:15" ht="12.75">
      <c r="B50" s="15"/>
      <c r="C50" s="35">
        <f>IF((N14*30+ROUND(IF(N15&gt;0,(N15/12)*30,0),2)+ROUND(IF(N16&gt;0,30/12,0),2))&gt;365,365,N14*30+ROUND(IF(N15&gt;0,(N15/12)*30,0),2)+ROUND(IF(N16&gt;0,30/12,0),2))</f>
        <v>365</v>
      </c>
      <c r="D50" s="35"/>
      <c r="E50" s="35" t="s">
        <v>34</v>
      </c>
      <c r="F50" s="60">
        <f>I22</f>
        <v>67.23</v>
      </c>
      <c r="G50" s="35" t="s">
        <v>7</v>
      </c>
      <c r="H50" s="35" t="s">
        <v>21</v>
      </c>
      <c r="I50" s="211">
        <f>F50*C50</f>
        <v>24538.95</v>
      </c>
      <c r="J50" s="211"/>
      <c r="K50" s="211"/>
      <c r="L50" s="18"/>
      <c r="M50" s="18"/>
      <c r="N50" s="18"/>
      <c r="O50" s="17"/>
    </row>
    <row r="51" spans="2:15" ht="15" customHeight="1" thickBot="1">
      <c r="B51" s="24"/>
      <c r="C51" s="9"/>
      <c r="D51" s="51" t="str">
        <f>IF(N14*30+ROUND(IF(N15&gt;0,(N15/12)*30,0),2)+ROUND(IF(N16&gt;0,30/12,0),2)&gt;360,"El FOGASA no abona más de una anualidad","")</f>
        <v>El FOGASA no abona más de una anualidad</v>
      </c>
      <c r="E51" s="9"/>
      <c r="F51" s="9"/>
      <c r="G51" s="9"/>
      <c r="H51" s="9"/>
      <c r="I51" s="9"/>
      <c r="J51" s="9"/>
      <c r="K51" s="9"/>
      <c r="L51" s="9"/>
      <c r="M51" s="9"/>
      <c r="N51" s="9"/>
      <c r="O51" s="26"/>
    </row>
    <row r="52" ht="12.75" thickBot="1"/>
    <row r="53" spans="2:15" ht="12.75">
      <c r="B53" s="2" t="s">
        <v>4</v>
      </c>
      <c r="C53" s="12"/>
      <c r="D53" s="3"/>
      <c r="E53" s="3"/>
      <c r="F53" s="3"/>
      <c r="G53" s="3" t="s">
        <v>23</v>
      </c>
      <c r="H53" s="3"/>
      <c r="I53" s="3"/>
      <c r="J53" s="3"/>
      <c r="K53" s="3"/>
      <c r="L53" s="3"/>
      <c r="M53" s="3"/>
      <c r="N53" s="3"/>
      <c r="O53" s="4"/>
    </row>
    <row r="54" spans="2:15" ht="12.75">
      <c r="B54" s="15"/>
      <c r="C54" s="18"/>
      <c r="D54" s="18"/>
      <c r="E54" s="18"/>
      <c r="F54" s="18"/>
      <c r="G54" s="18"/>
      <c r="H54" s="18"/>
      <c r="I54" s="18"/>
      <c r="J54" s="18"/>
      <c r="K54" s="18"/>
      <c r="L54" s="18"/>
      <c r="M54" s="18"/>
      <c r="N54" s="18"/>
      <c r="O54" s="17"/>
    </row>
    <row r="55" spans="2:15" ht="12.75">
      <c r="B55" s="15"/>
      <c r="C55" s="35">
        <f>IF((N14*20+ROUND(IF(N15&gt;0,(N15/12)*20,0),2)+ROUND(IF(N16&gt;0,20/12,0),2))&gt;365,365,N14*20+ROUND(IF(N15&gt;0,(N15/12)*20,0),2)+ROUND(IF(N16&gt;0,20/12,0),2))</f>
        <v>346.67</v>
      </c>
      <c r="D55" s="35"/>
      <c r="E55" s="35" t="s">
        <v>34</v>
      </c>
      <c r="F55" s="60">
        <f>I22</f>
        <v>67.23</v>
      </c>
      <c r="G55" s="35" t="s">
        <v>7</v>
      </c>
      <c r="H55" s="35" t="s">
        <v>21</v>
      </c>
      <c r="I55" s="211">
        <f>F55*C55</f>
        <v>23306.6241</v>
      </c>
      <c r="J55" s="211"/>
      <c r="K55" s="211"/>
      <c r="L55" s="91" t="s">
        <v>57</v>
      </c>
      <c r="M55" s="18"/>
      <c r="N55" s="18"/>
      <c r="O55" s="17"/>
    </row>
    <row r="56" spans="2:15" ht="13.5" thickBot="1">
      <c r="B56" s="37">
        <f>B26</f>
      </c>
      <c r="C56" s="9"/>
      <c r="D56" s="51"/>
      <c r="E56" s="9"/>
      <c r="F56" s="9"/>
      <c r="G56" s="92">
        <f>IF(N14*20+ROUND(IF(N15&gt;0,(N15/12)*20,0),2)+ROUND(IF(N16&gt;0,20/12,0),2)&gt;365,"El FOGASA no abona más de una anualidad","")</f>
      </c>
      <c r="H56" s="9"/>
      <c r="I56" s="9"/>
      <c r="J56" s="9"/>
      <c r="K56" s="9"/>
      <c r="L56" s="9"/>
      <c r="M56" s="9"/>
      <c r="N56" s="9"/>
      <c r="O56" s="26"/>
    </row>
    <row r="63" ht="15">
      <c r="A63" s="52"/>
    </row>
    <row r="64" ht="15">
      <c r="A64" s="52"/>
    </row>
    <row r="65" ht="15">
      <c r="A65" s="52"/>
    </row>
    <row r="66" ht="15">
      <c r="A66" s="52"/>
    </row>
    <row r="67" ht="15">
      <c r="A67" s="52"/>
    </row>
    <row r="68" ht="15">
      <c r="A68" s="52"/>
    </row>
    <row r="69" ht="15">
      <c r="A69" s="52"/>
    </row>
    <row r="70" ht="15">
      <c r="A70" s="52"/>
    </row>
    <row r="71" ht="15">
      <c r="A71" s="52"/>
    </row>
    <row r="72" ht="15">
      <c r="A72" s="52"/>
    </row>
    <row r="73" ht="15">
      <c r="A73" s="52"/>
    </row>
    <row r="74" ht="15">
      <c r="A74" s="52"/>
    </row>
    <row r="75" ht="15">
      <c r="A75" s="52"/>
    </row>
    <row r="76" ht="15">
      <c r="A76" s="52"/>
    </row>
    <row r="77" ht="15">
      <c r="A77" s="52"/>
    </row>
    <row r="78" ht="15">
      <c r="A78" s="52"/>
    </row>
    <row r="79" ht="15">
      <c r="A79" s="52"/>
    </row>
    <row r="80" ht="15">
      <c r="A80" s="52"/>
    </row>
    <row r="81" ht="15">
      <c r="A81" s="53"/>
    </row>
    <row r="82" ht="15">
      <c r="A82" s="53"/>
    </row>
  </sheetData>
  <sheetProtection/>
  <mergeCells count="23">
    <mergeCell ref="B41:D41"/>
    <mergeCell ref="I55:K55"/>
    <mergeCell ref="N45:O45"/>
    <mergeCell ref="I50:K50"/>
    <mergeCell ref="N42:O42"/>
    <mergeCell ref="N43:O43"/>
    <mergeCell ref="I44:J44"/>
    <mergeCell ref="N44:O44"/>
    <mergeCell ref="N41:O41"/>
    <mergeCell ref="N19:O19"/>
    <mergeCell ref="N24:O24"/>
    <mergeCell ref="N25:O25"/>
    <mergeCell ref="N26:O26"/>
    <mergeCell ref="N36:O36"/>
    <mergeCell ref="N37:O37"/>
    <mergeCell ref="G6:K6"/>
    <mergeCell ref="L6:N6"/>
    <mergeCell ref="G7:K7"/>
    <mergeCell ref="G8:K8"/>
    <mergeCell ref="G9:K9"/>
    <mergeCell ref="D13:F13"/>
    <mergeCell ref="I13:J13"/>
    <mergeCell ref="K13:L13"/>
  </mergeCells>
  <dataValidations count="1">
    <dataValidation type="list" allowBlank="1" showInputMessage="1" showErrorMessage="1" prompt="Seleccione salario anual, mensual o diario&#10;" error="Seleccione un valor de la lista" sqref="O6">
      <formula1>$Q$7:$Q$9</formula1>
    </dataValidation>
  </dataValidations>
  <printOptions/>
  <pageMargins left="0.7" right="0.7" top="0.75" bottom="0.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Hoja3">
    <pageSetUpPr fitToPage="1"/>
  </sheetPr>
  <dimension ref="A1:W98"/>
  <sheetViews>
    <sheetView zoomScalePageLayoutView="0" workbookViewId="0" topLeftCell="A3">
      <selection activeCell="E45" sqref="E45"/>
    </sheetView>
  </sheetViews>
  <sheetFormatPr defaultColWidth="11.421875" defaultRowHeight="12.75"/>
  <cols>
    <col min="1" max="1" width="3.421875" style="1" customWidth="1"/>
    <col min="2" max="2" width="15.28125" style="1" bestFit="1" customWidth="1"/>
    <col min="3" max="3" width="14.00390625" style="1" bestFit="1" customWidth="1"/>
    <col min="4" max="4" width="2.00390625" style="1" customWidth="1"/>
    <col min="5" max="5" width="10.8515625" style="1" customWidth="1"/>
    <col min="6" max="6" width="5.421875" style="1" customWidth="1"/>
    <col min="7" max="7" width="6.7109375" style="1" customWidth="1"/>
    <col min="8" max="8" width="6.57421875" style="1" customWidth="1"/>
    <col min="9" max="9" width="8.7109375" style="1" customWidth="1"/>
    <col min="10" max="10" width="2.00390625" style="1" customWidth="1"/>
    <col min="11" max="11" width="6.7109375" style="1" customWidth="1"/>
    <col min="12" max="12" width="14.7109375" style="1" bestFit="1" customWidth="1"/>
    <col min="13" max="13" width="2.7109375" style="1" customWidth="1"/>
    <col min="14" max="14" width="8.140625" style="1" customWidth="1"/>
    <col min="15" max="15" width="8.421875" style="1" customWidth="1"/>
    <col min="16" max="16" width="3.57421875" style="1" customWidth="1"/>
    <col min="17" max="17" width="12.28125" style="1" customWidth="1"/>
    <col min="18" max="20" width="11.421875" style="1" customWidth="1"/>
    <col min="21" max="22" width="12.7109375" style="1" bestFit="1" customWidth="1"/>
    <col min="23" max="16384" width="11.421875" style="1" customWidth="1"/>
  </cols>
  <sheetData>
    <row r="1" spans="2:15" ht="7.5" customHeight="1">
      <c r="B1" s="220" t="s">
        <v>56</v>
      </c>
      <c r="C1" s="220"/>
      <c r="D1" s="220"/>
      <c r="E1" s="220"/>
      <c r="F1" s="220"/>
      <c r="G1" s="220"/>
      <c r="H1" s="220"/>
      <c r="I1" s="220"/>
      <c r="J1" s="220"/>
      <c r="K1" s="220"/>
      <c r="L1" s="220"/>
      <c r="M1" s="220"/>
      <c r="N1" s="220"/>
      <c r="O1" s="220"/>
    </row>
    <row r="2" spans="2:15" ht="7.5" customHeight="1" thickBot="1">
      <c r="B2" s="221"/>
      <c r="C2" s="221"/>
      <c r="D2" s="221"/>
      <c r="E2" s="221"/>
      <c r="F2" s="221"/>
      <c r="G2" s="221"/>
      <c r="H2" s="221"/>
      <c r="I2" s="221"/>
      <c r="J2" s="221"/>
      <c r="K2" s="221"/>
      <c r="L2" s="221"/>
      <c r="M2" s="221"/>
      <c r="N2" s="221"/>
      <c r="O2" s="221"/>
    </row>
    <row r="3" spans="2:17" ht="13.5" thickBot="1">
      <c r="B3" s="2" t="s">
        <v>11</v>
      </c>
      <c r="C3" s="266"/>
      <c r="D3" s="266"/>
      <c r="E3" s="266"/>
      <c r="F3" s="266"/>
      <c r="G3" s="266"/>
      <c r="H3" s="266"/>
      <c r="I3" s="266"/>
      <c r="J3" s="266"/>
      <c r="K3" s="266"/>
      <c r="L3" s="267"/>
      <c r="M3" s="5"/>
      <c r="N3" s="6" t="s">
        <v>35</v>
      </c>
      <c r="O3" s="7"/>
      <c r="Q3" s="94">
        <v>41640</v>
      </c>
    </row>
    <row r="4" spans="2:15" ht="13.5" thickBot="1">
      <c r="B4" s="8" t="s">
        <v>12</v>
      </c>
      <c r="C4" s="241"/>
      <c r="D4" s="241"/>
      <c r="E4" s="241"/>
      <c r="F4" s="241"/>
      <c r="G4" s="241"/>
      <c r="H4" s="241"/>
      <c r="I4" s="241"/>
      <c r="J4" s="241"/>
      <c r="K4" s="241"/>
      <c r="L4" s="241"/>
      <c r="M4" s="10"/>
      <c r="N4" s="10"/>
      <c r="O4" s="11"/>
    </row>
    <row r="5" ht="6.75" customHeight="1" thickBot="1"/>
    <row r="6" spans="2:23" ht="12.75">
      <c r="B6" s="2" t="s">
        <v>68</v>
      </c>
      <c r="C6" s="3"/>
      <c r="D6" s="3"/>
      <c r="E6" s="4"/>
      <c r="H6" s="270" t="s">
        <v>63</v>
      </c>
      <c r="I6" s="270"/>
      <c r="J6" s="270"/>
      <c r="K6" s="271"/>
      <c r="L6" s="215" t="s">
        <v>66</v>
      </c>
      <c r="M6" s="216"/>
      <c r="N6" s="216"/>
      <c r="O6" s="217"/>
      <c r="P6" s="14" t="b">
        <v>0</v>
      </c>
      <c r="S6" s="126"/>
      <c r="T6" s="126"/>
      <c r="U6" s="126"/>
      <c r="V6" s="126"/>
      <c r="W6" s="130"/>
    </row>
    <row r="7" spans="2:23" ht="20.25">
      <c r="B7" s="15" t="s">
        <v>64</v>
      </c>
      <c r="C7" s="18"/>
      <c r="D7" s="18"/>
      <c r="E7" s="121">
        <v>100</v>
      </c>
      <c r="F7" s="120"/>
      <c r="H7" s="278" t="s">
        <v>91</v>
      </c>
      <c r="I7" s="278"/>
      <c r="J7" s="278"/>
      <c r="K7" s="279"/>
      <c r="L7" s="276">
        <v>30.72</v>
      </c>
      <c r="M7" s="277"/>
      <c r="N7" s="141" t="str">
        <f>IF(L8="","Seleccione periodicidad del salario ",IF(L8=2," / jornada REAL",IF(L8=1," / mes",)))</f>
        <v> / jornada REAL</v>
      </c>
      <c r="O7" s="140"/>
      <c r="Q7" s="20">
        <v>2</v>
      </c>
      <c r="R7" s="89" t="s">
        <v>54</v>
      </c>
      <c r="S7" s="124"/>
      <c r="T7" s="124"/>
      <c r="U7" s="124"/>
      <c r="V7" s="124"/>
      <c r="W7" s="125"/>
    </row>
    <row r="8" spans="2:23" ht="12.75">
      <c r="B8" s="15" t="s">
        <v>65</v>
      </c>
      <c r="C8" s="18"/>
      <c r="D8" s="18"/>
      <c r="E8" s="121">
        <v>100</v>
      </c>
      <c r="H8" s="280" t="s">
        <v>105</v>
      </c>
      <c r="I8" s="280"/>
      <c r="J8" s="280"/>
      <c r="K8" s="281"/>
      <c r="L8" s="144">
        <v>2</v>
      </c>
      <c r="M8" s="138"/>
      <c r="N8" s="138"/>
      <c r="O8" s="139">
        <v>1</v>
      </c>
      <c r="Q8" s="20" t="s">
        <v>18</v>
      </c>
      <c r="R8" s="89" t="s">
        <v>55</v>
      </c>
      <c r="S8" s="126"/>
      <c r="T8" s="126"/>
      <c r="U8" s="126"/>
      <c r="V8" s="126"/>
      <c r="W8" s="126"/>
    </row>
    <row r="9" spans="2:23" ht="18" thickBot="1">
      <c r="B9" s="122" t="s">
        <v>67</v>
      </c>
      <c r="C9" s="9"/>
      <c r="D9" s="9"/>
      <c r="E9" s="123">
        <v>42614</v>
      </c>
      <c r="H9" s="272" t="s">
        <v>62</v>
      </c>
      <c r="I9" s="272"/>
      <c r="J9" s="272"/>
      <c r="K9" s="273"/>
      <c r="L9" s="268">
        <v>30</v>
      </c>
      <c r="M9" s="269"/>
      <c r="N9" s="142">
        <f>IF(L8="","Seleccione periodicidad del salario ",IF(L8=2,"",IF(L8=1," jornadas / mes",)))</f>
      </c>
      <c r="O9" s="143"/>
      <c r="Q9" s="20" t="s">
        <v>19</v>
      </c>
      <c r="R9" s="20"/>
      <c r="S9" s="127"/>
      <c r="T9" s="128"/>
      <c r="U9" s="128"/>
      <c r="V9" s="128"/>
      <c r="W9" s="129"/>
    </row>
    <row r="10" spans="2:23" ht="6" customHeight="1">
      <c r="B10" s="91"/>
      <c r="C10" s="18"/>
      <c r="D10" s="18"/>
      <c r="E10" s="131"/>
      <c r="H10" s="202"/>
      <c r="I10" s="202"/>
      <c r="J10" s="202"/>
      <c r="K10" s="132"/>
      <c r="L10" s="133"/>
      <c r="M10" s="133"/>
      <c r="N10" s="151">
        <f>YEAR(E9)</f>
        <v>2016</v>
      </c>
      <c r="O10" s="152">
        <f>DATE((N10+1),1,1)-DATE(N10,1,1)</f>
        <v>366</v>
      </c>
      <c r="Q10" s="20"/>
      <c r="R10" s="20"/>
      <c r="S10" s="127"/>
      <c r="T10" s="128"/>
      <c r="U10" s="128"/>
      <c r="V10" s="128"/>
      <c r="W10" s="129"/>
    </row>
    <row r="11" spans="2:23" s="134" customFormat="1" ht="17.25">
      <c r="B11" s="274" t="s">
        <v>69</v>
      </c>
      <c r="C11" s="275"/>
      <c r="D11" s="275"/>
      <c r="E11" s="275"/>
      <c r="F11" s="275"/>
      <c r="G11" s="275"/>
      <c r="H11" s="275"/>
      <c r="I11" s="275"/>
      <c r="J11" s="275"/>
      <c r="K11" s="275"/>
      <c r="L11" s="275"/>
      <c r="M11" s="275"/>
      <c r="N11" s="275"/>
      <c r="O11" s="275"/>
      <c r="S11" s="135"/>
      <c r="T11" s="136"/>
      <c r="U11" s="136"/>
      <c r="V11" s="136"/>
      <c r="W11" s="137"/>
    </row>
    <row r="12" spans="2:18" ht="4.5" customHeight="1" thickBot="1">
      <c r="B12" s="18"/>
      <c r="C12" s="16"/>
      <c r="D12" s="18"/>
      <c r="G12" s="116"/>
      <c r="H12" s="116"/>
      <c r="I12" s="116"/>
      <c r="J12" s="116"/>
      <c r="K12" s="117"/>
      <c r="L12" s="108"/>
      <c r="M12" s="109"/>
      <c r="N12" s="18"/>
      <c r="O12" s="91"/>
      <c r="Q12" s="20"/>
      <c r="R12" s="20"/>
    </row>
    <row r="13" spans="2:18" ht="12.75">
      <c r="B13" s="110"/>
      <c r="C13" s="111"/>
      <c r="D13" s="111"/>
      <c r="E13" s="111"/>
      <c r="F13" s="111"/>
      <c r="G13" s="111"/>
      <c r="H13" s="111"/>
      <c r="I13" s="111"/>
      <c r="J13" s="111"/>
      <c r="K13" s="111"/>
      <c r="L13" s="111"/>
      <c r="M13" s="111"/>
      <c r="N13" s="111"/>
      <c r="O13" s="112"/>
      <c r="Q13" s="20"/>
      <c r="R13" s="20"/>
    </row>
    <row r="14" spans="2:18" ht="12.75">
      <c r="B14" s="113"/>
      <c r="C14" s="108"/>
      <c r="D14" s="108"/>
      <c r="E14" s="108"/>
      <c r="F14" s="108"/>
      <c r="G14" s="108"/>
      <c r="H14" s="108"/>
      <c r="I14" s="108"/>
      <c r="J14" s="108"/>
      <c r="K14" s="108"/>
      <c r="L14" s="108"/>
      <c r="M14" s="108"/>
      <c r="N14" s="108"/>
      <c r="O14" s="114"/>
      <c r="Q14" s="20"/>
      <c r="R14" s="20"/>
    </row>
    <row r="15" spans="2:18" ht="13.5" thickBot="1">
      <c r="B15" s="72"/>
      <c r="C15" s="58"/>
      <c r="D15" s="58"/>
      <c r="E15" s="58"/>
      <c r="F15" s="58"/>
      <c r="G15" s="58"/>
      <c r="H15" s="58"/>
      <c r="I15" s="58"/>
      <c r="J15" s="58"/>
      <c r="K15" s="58"/>
      <c r="L15" s="58"/>
      <c r="M15" s="58"/>
      <c r="N15" s="58"/>
      <c r="O15" s="115"/>
      <c r="Q15" s="20"/>
      <c r="R15" s="20"/>
    </row>
    <row r="16" ht="6.75" customHeight="1" thickBot="1"/>
    <row r="17" spans="2:15" ht="12.75">
      <c r="B17" s="2" t="s">
        <v>22</v>
      </c>
      <c r="C17" s="3"/>
      <c r="D17" s="3"/>
      <c r="E17" s="3"/>
      <c r="F17" s="3"/>
      <c r="G17" s="3"/>
      <c r="H17" s="3"/>
      <c r="I17" s="3"/>
      <c r="J17" s="3"/>
      <c r="K17" s="3"/>
      <c r="L17" s="3"/>
      <c r="M17" s="3"/>
      <c r="N17" s="3"/>
      <c r="O17" s="4"/>
    </row>
    <row r="18" spans="2:15" ht="5.25" customHeight="1">
      <c r="B18" s="27"/>
      <c r="C18" s="18"/>
      <c r="D18" s="18"/>
      <c r="E18" s="18"/>
      <c r="F18" s="18"/>
      <c r="G18" s="18"/>
      <c r="H18" s="18"/>
      <c r="I18" s="18"/>
      <c r="J18" s="18"/>
      <c r="K18" s="18"/>
      <c r="L18" s="18"/>
      <c r="M18" s="18"/>
      <c r="N18" s="18"/>
      <c r="O18" s="17"/>
    </row>
    <row r="19" spans="2:15" ht="12.75">
      <c r="B19" s="65"/>
      <c r="C19" s="67" t="s">
        <v>41</v>
      </c>
      <c r="D19" s="222">
        <v>40950</v>
      </c>
      <c r="E19" s="222"/>
      <c r="F19" s="223"/>
      <c r="G19" s="29"/>
      <c r="H19" s="18"/>
      <c r="I19" s="224" t="s">
        <v>42</v>
      </c>
      <c r="J19" s="225"/>
      <c r="K19" s="222">
        <v>40951</v>
      </c>
      <c r="L19" s="223"/>
      <c r="M19" s="29"/>
      <c r="N19" s="30" t="s">
        <v>3</v>
      </c>
      <c r="O19" s="17"/>
    </row>
    <row r="20" spans="2:17" ht="12.75">
      <c r="B20" s="15">
        <f>IF(E7&lt;0,0,INT(E7/365))</f>
        <v>0</v>
      </c>
      <c r="C20" s="29" t="s">
        <v>5</v>
      </c>
      <c r="D20" s="18"/>
      <c r="E20" s="18">
        <f>B20*45</f>
        <v>0</v>
      </c>
      <c r="F20" s="29" t="s">
        <v>1</v>
      </c>
      <c r="G20" s="18"/>
      <c r="H20" s="1">
        <f>IF(E8&lt;0,0,INT(E8/365))</f>
        <v>0</v>
      </c>
      <c r="I20" s="29" t="s">
        <v>5</v>
      </c>
      <c r="J20" s="18"/>
      <c r="K20" s="18">
        <f>H20*33</f>
        <v>0</v>
      </c>
      <c r="L20" s="29" t="s">
        <v>1</v>
      </c>
      <c r="M20" s="18"/>
      <c r="N20" s="18">
        <f>INT((E8+E7)/365)</f>
        <v>0</v>
      </c>
      <c r="O20" s="31" t="s">
        <v>5</v>
      </c>
      <c r="Q20" s="88"/>
    </row>
    <row r="21" spans="2:15" ht="12.75">
      <c r="B21" s="15">
        <f>IF(E7&lt;0,0,INT((E7-(B20*365))/30))</f>
        <v>3</v>
      </c>
      <c r="C21" s="29" t="s">
        <v>6</v>
      </c>
      <c r="D21" s="18"/>
      <c r="E21" s="18">
        <f>ROUND((B21/12)*45,2)</f>
        <v>11.25</v>
      </c>
      <c r="F21" s="29" t="s">
        <v>1</v>
      </c>
      <c r="G21" s="18"/>
      <c r="H21" s="18">
        <f>IF(E8&lt;0,0,INT((E8-(H20*365))/30))</f>
        <v>3</v>
      </c>
      <c r="I21" s="29" t="s">
        <v>6</v>
      </c>
      <c r="J21" s="18"/>
      <c r="K21" s="18">
        <f>ROUND((H21/12)*33,2)</f>
        <v>8.25</v>
      </c>
      <c r="L21" s="29" t="s">
        <v>1</v>
      </c>
      <c r="M21" s="18"/>
      <c r="N21" s="18">
        <f>INT(((E7+E8)-(N20*365))/30)</f>
        <v>6</v>
      </c>
      <c r="O21" s="31" t="s">
        <v>6</v>
      </c>
    </row>
    <row r="22" spans="2:20" ht="12.75">
      <c r="B22" s="32">
        <f>IF(E7&lt;0,0,(E7-(B20*365)-(B21*30)))</f>
        <v>10</v>
      </c>
      <c r="C22" s="33" t="s">
        <v>1</v>
      </c>
      <c r="D22" s="34"/>
      <c r="E22" s="34">
        <f>ROUND(IF(B22&gt;0,45/12,0),2)</f>
        <v>3.75</v>
      </c>
      <c r="F22" s="33" t="s">
        <v>1</v>
      </c>
      <c r="G22" s="18"/>
      <c r="H22" s="34">
        <f>IF(E8&lt;0,0,(E8-(H20*365)-(H21*30)))</f>
        <v>10</v>
      </c>
      <c r="I22" s="33" t="s">
        <v>1</v>
      </c>
      <c r="J22" s="34"/>
      <c r="K22" s="34">
        <f>ROUND(IF(H22&gt;0,33/12,0),2)</f>
        <v>2.75</v>
      </c>
      <c r="L22" s="33" t="s">
        <v>1</v>
      </c>
      <c r="M22" s="18"/>
      <c r="N22" s="18">
        <f>((E7+E8)-(N20*365)-(N21*30))</f>
        <v>20</v>
      </c>
      <c r="O22" s="31" t="s">
        <v>1</v>
      </c>
      <c r="S22" s="66"/>
      <c r="T22" s="66"/>
    </row>
    <row r="23" spans="2:15" ht="12.75">
      <c r="B23" s="15">
        <f>B20*12+B21+IF(B22&gt;0,1,0)</f>
        <v>4</v>
      </c>
      <c r="C23" s="91" t="s">
        <v>6</v>
      </c>
      <c r="D23" s="18"/>
      <c r="E23" s="60">
        <f>SUM(E20:E22)</f>
        <v>15</v>
      </c>
      <c r="F23" s="36" t="s">
        <v>1</v>
      </c>
      <c r="G23" s="18"/>
      <c r="H23" s="91">
        <f>H20*12+H21+IF(H22&gt;0,1,0)</f>
        <v>4</v>
      </c>
      <c r="I23" s="91" t="s">
        <v>6</v>
      </c>
      <c r="J23" s="18"/>
      <c r="K23" s="60">
        <f>SUM(K20:K22)</f>
        <v>11</v>
      </c>
      <c r="L23" s="36" t="s">
        <v>1</v>
      </c>
      <c r="M23" s="18"/>
      <c r="N23" s="91">
        <f>N20*12+N21+IF(N22&gt;0,1,0)</f>
        <v>7</v>
      </c>
      <c r="O23" s="147" t="s">
        <v>6</v>
      </c>
    </row>
    <row r="24" spans="2:15" ht="12.75">
      <c r="B24" s="15"/>
      <c r="C24" s="18"/>
      <c r="D24" s="18"/>
      <c r="E24" s="54">
        <f>IF(E9&lt;DATE(2012,2,12),"Atención: la fecha de despido es anterior a la publicación del RDL 3/2012","")</f>
      </c>
      <c r="F24" s="18"/>
      <c r="G24" s="18"/>
      <c r="I24" s="18"/>
      <c r="J24" s="18"/>
      <c r="K24" s="18"/>
      <c r="L24" s="18"/>
      <c r="M24" s="18"/>
      <c r="N24" s="18"/>
      <c r="O24" s="17"/>
    </row>
    <row r="25" spans="2:15" ht="12.75">
      <c r="B25" s="15"/>
      <c r="C25" s="35" t="s">
        <v>0</v>
      </c>
      <c r="D25" s="35"/>
      <c r="E25" s="35"/>
      <c r="F25" s="35"/>
      <c r="G25" s="35">
        <f>IF((E23+K23)&gt;720,IF(E23&gt;1260,1260,IF(E23&lt;720,720,E23)),(E23+K23))</f>
        <v>26</v>
      </c>
      <c r="H25" s="35" t="s">
        <v>10</v>
      </c>
      <c r="I25" s="35"/>
      <c r="J25" s="35" t="s">
        <v>20</v>
      </c>
      <c r="K25" s="60">
        <f>IF(L8="","Seleccione periodicidad del salario",IF(L8=2,L7,IF(L8=1,L7/L9)))</f>
        <v>30.72</v>
      </c>
      <c r="L25" s="35" t="s">
        <v>7</v>
      </c>
      <c r="M25" s="35" t="s">
        <v>21</v>
      </c>
      <c r="N25" s="247">
        <f>IF((E23+K23)&gt;720,IF(E23&gt;1260,K25*1260,IF(E23&lt;720,K25*720,E23*K25)),(E23+K23)*K25)</f>
        <v>798.72</v>
      </c>
      <c r="O25" s="247"/>
    </row>
    <row r="26" spans="2:15" ht="15.75" customHeight="1" thickBot="1">
      <c r="B26" s="37">
        <f>IF((E23+K23)&gt;720,IF(E23&gt;1260,"Se aplica el límite, 42 mensualidades por el periodo anterior al 12/02/2012",IF(E23&lt;720,"Se aplica el límite de 720 días","La indemnización es mayor de 720 días, sólo computa el periodo anterior al 12/02/2012")),"")</f>
      </c>
      <c r="C26" s="9"/>
      <c r="D26" s="9"/>
      <c r="E26" s="9"/>
      <c r="F26" s="9"/>
      <c r="G26" s="9"/>
      <c r="H26" s="9"/>
      <c r="I26" s="9"/>
      <c r="J26" s="9"/>
      <c r="K26" s="9"/>
      <c r="L26" s="9"/>
      <c r="M26" s="9"/>
      <c r="N26" s="9"/>
      <c r="O26" s="26"/>
    </row>
    <row r="27" ht="8.25" customHeight="1" thickBot="1"/>
    <row r="28" spans="2:15" ht="15.75" customHeight="1">
      <c r="B28" s="2" t="s">
        <v>23</v>
      </c>
      <c r="C28" s="3"/>
      <c r="D28" s="3"/>
      <c r="E28" s="3"/>
      <c r="F28" s="3"/>
      <c r="G28" s="3"/>
      <c r="H28" s="38">
        <f>IF(G30&gt;=365,365/20*8,N20*8+ROUND(IF(N21&gt;0,(N21/12)*8,0),2)+ROUND(IF(N22&gt;0,8/12,0),2))</f>
        <v>4.67</v>
      </c>
      <c r="I28" s="38"/>
      <c r="J28" s="3"/>
      <c r="K28" s="3"/>
      <c r="L28" s="3"/>
      <c r="M28" s="3"/>
      <c r="N28" s="3"/>
      <c r="O28" s="4"/>
    </row>
    <row r="29" spans="2:15" ht="5.25" customHeight="1">
      <c r="B29" s="15"/>
      <c r="C29" s="18"/>
      <c r="D29" s="18"/>
      <c r="E29" s="18"/>
      <c r="F29" s="18"/>
      <c r="G29" s="18"/>
      <c r="H29" s="18"/>
      <c r="I29" s="18"/>
      <c r="J29" s="18"/>
      <c r="K29" s="18"/>
      <c r="L29" s="18"/>
      <c r="M29" s="18"/>
      <c r="N29" s="18"/>
      <c r="O29" s="17"/>
    </row>
    <row r="30" spans="2:15" ht="15.75" customHeight="1">
      <c r="B30" s="209">
        <f>IF($N$23*(20/12)&gt;$O$10,"Límite: 12 meses en lugar de ","")</f>
      </c>
      <c r="C30" s="210"/>
      <c r="D30" s="210"/>
      <c r="E30" s="153">
        <f>IF($N$23*(20/12)&gt;$O$10,$N$23*(20/12),"")</f>
      </c>
      <c r="F30" s="61">
        <f>IF($N$23*(20/12)&gt;$O$10,"dias","")</f>
      </c>
      <c r="G30" s="35">
        <f>IF($N$23*(20/12)&gt;360,360,$N$23*(20/12))</f>
        <v>11.666666666666668</v>
      </c>
      <c r="H30" s="35" t="s">
        <v>24</v>
      </c>
      <c r="I30" s="35"/>
      <c r="J30" s="35" t="s">
        <v>20</v>
      </c>
      <c r="K30" s="35">
        <f>$K$25</f>
        <v>30.72</v>
      </c>
      <c r="L30" s="35" t="s">
        <v>7</v>
      </c>
      <c r="M30" s="35" t="s">
        <v>21</v>
      </c>
      <c r="N30" s="211">
        <f>K30*G30</f>
        <v>358.40000000000003</v>
      </c>
      <c r="O30" s="212"/>
    </row>
    <row r="31" spans="2:15" ht="3.75" customHeight="1" thickBot="1">
      <c r="B31" s="24"/>
      <c r="C31" s="9"/>
      <c r="D31" s="9"/>
      <c r="E31" s="9">
        <f>IF(AND(P6,E9&lt;Q3),"A cargo de la empresa","")</f>
      </c>
      <c r="F31" s="9"/>
      <c r="G31" s="9"/>
      <c r="H31" s="208">
        <f>IF(AND(P6,E9&lt;Q3),N30-N31,"")</f>
      </c>
      <c r="I31" s="208"/>
      <c r="J31" s="9"/>
      <c r="K31" s="9"/>
      <c r="L31" s="9"/>
      <c r="M31" s="162">
        <f>IF(AND(P6,E9&lt;Q3),"A cargo del FOGASA","")</f>
      </c>
      <c r="N31" s="218">
        <f>IF(AND(P6,E9&lt;Q3),F60*IF($N$23*(8/12)&gt;$O$10,$O$10,$N$23*(8/12)),"")</f>
      </c>
      <c r="O31" s="219"/>
    </row>
    <row r="32" spans="2:15" ht="4.5" customHeight="1" thickBot="1">
      <c r="B32" s="99"/>
      <c r="C32" s="18"/>
      <c r="D32" s="18"/>
      <c r="E32" s="18"/>
      <c r="F32" s="18"/>
      <c r="G32" s="18"/>
      <c r="H32" s="18"/>
      <c r="I32" s="18"/>
      <c r="J32" s="18"/>
      <c r="K32" s="18"/>
      <c r="L32" s="18"/>
      <c r="M32" s="48"/>
      <c r="N32" s="146"/>
      <c r="O32" s="146"/>
    </row>
    <row r="33" spans="2:15" ht="15.75" customHeight="1">
      <c r="B33" s="2" t="s">
        <v>70</v>
      </c>
      <c r="C33" s="3"/>
      <c r="D33" s="3"/>
      <c r="E33" s="3"/>
      <c r="F33" s="3"/>
      <c r="G33" s="3"/>
      <c r="H33" s="38"/>
      <c r="I33" s="38"/>
      <c r="J33" s="3"/>
      <c r="K33" s="3"/>
      <c r="L33" s="3"/>
      <c r="M33" s="3"/>
      <c r="N33" s="3"/>
      <c r="O33" s="4"/>
    </row>
    <row r="34" spans="2:15" ht="5.25" customHeight="1">
      <c r="B34" s="15"/>
      <c r="C34" s="18"/>
      <c r="D34" s="18"/>
      <c r="E34" s="18"/>
      <c r="F34" s="18"/>
      <c r="G34" s="18"/>
      <c r="H34" s="18"/>
      <c r="I34" s="18"/>
      <c r="J34" s="18"/>
      <c r="K34" s="18"/>
      <c r="L34" s="18"/>
      <c r="M34" s="18"/>
      <c r="N34" s="18"/>
      <c r="O34" s="17"/>
    </row>
    <row r="35" spans="2:15" ht="15.75" customHeight="1">
      <c r="B35" s="209">
        <f>IF($N$23*(20/12)&gt;270,"Límite: 9 meses en lugar de ","")</f>
      </c>
      <c r="C35" s="210"/>
      <c r="D35" s="210"/>
      <c r="E35" s="164">
        <f>IF($N$23*(20/12)&gt;270,$N$23*(20/12),"")</f>
      </c>
      <c r="F35" s="61">
        <f>IF($N$23*(20/12)&gt;$O$10,"dias","")</f>
      </c>
      <c r="G35" s="35">
        <f>IF($N$23*(20/12)&gt;270,270,$N$23*(20/12))</f>
        <v>11.666666666666668</v>
      </c>
      <c r="H35" s="35" t="s">
        <v>24</v>
      </c>
      <c r="I35" s="35"/>
      <c r="J35" s="35" t="s">
        <v>20</v>
      </c>
      <c r="K35" s="35">
        <f>$K$25</f>
        <v>30.72</v>
      </c>
      <c r="L35" s="35" t="s">
        <v>7</v>
      </c>
      <c r="M35" s="35" t="s">
        <v>21</v>
      </c>
      <c r="N35" s="211">
        <f>K35*G35</f>
        <v>358.40000000000003</v>
      </c>
      <c r="O35" s="212"/>
    </row>
    <row r="36" spans="2:15" ht="4.5" customHeight="1" thickBot="1">
      <c r="B36" s="37"/>
      <c r="C36" s="9"/>
      <c r="D36" s="9"/>
      <c r="E36" s="9"/>
      <c r="F36" s="9"/>
      <c r="G36" s="9"/>
      <c r="H36" s="9"/>
      <c r="I36" s="9"/>
      <c r="J36" s="9"/>
      <c r="K36" s="9"/>
      <c r="L36" s="9"/>
      <c r="M36" s="41"/>
      <c r="N36" s="218"/>
      <c r="O36" s="219"/>
    </row>
    <row r="37" spans="2:15" ht="4.5" customHeight="1" thickBot="1">
      <c r="B37" s="99"/>
      <c r="C37" s="18"/>
      <c r="D37" s="18"/>
      <c r="E37" s="18"/>
      <c r="F37" s="18"/>
      <c r="G37" s="18"/>
      <c r="H37" s="18"/>
      <c r="I37" s="18"/>
      <c r="J37" s="18"/>
      <c r="K37" s="18"/>
      <c r="L37" s="18"/>
      <c r="M37" s="48"/>
      <c r="N37" s="146"/>
      <c r="O37" s="146"/>
    </row>
    <row r="38" spans="2:15" ht="15.75" customHeight="1">
      <c r="B38" s="2" t="s">
        <v>71</v>
      </c>
      <c r="C38" s="3"/>
      <c r="D38" s="3"/>
      <c r="E38" s="3"/>
      <c r="F38" s="3"/>
      <c r="G38" s="3"/>
      <c r="H38" s="38"/>
      <c r="I38" s="38"/>
      <c r="J38" s="3"/>
      <c r="K38" s="3"/>
      <c r="L38" s="3"/>
      <c r="M38" s="3"/>
      <c r="N38" s="3"/>
      <c r="O38" s="4"/>
    </row>
    <row r="39" spans="2:15" ht="3" customHeight="1">
      <c r="B39" s="15"/>
      <c r="C39" s="18"/>
      <c r="D39" s="18"/>
      <c r="E39" s="18"/>
      <c r="F39" s="18"/>
      <c r="G39" s="18"/>
      <c r="H39" s="18"/>
      <c r="I39" s="18"/>
      <c r="J39" s="18"/>
      <c r="K39" s="18"/>
      <c r="L39" s="18"/>
      <c r="M39" s="18"/>
      <c r="N39" s="18"/>
      <c r="O39" s="17"/>
    </row>
    <row r="40" spans="2:15" ht="15.75" customHeight="1">
      <c r="B40" s="209">
        <f>IF($N$23*(33/12)&gt;720,"Límite: 24 meses en lugar de ","")</f>
      </c>
      <c r="C40" s="210"/>
      <c r="D40" s="210"/>
      <c r="E40" s="153">
        <f>IF($N$23*(33/12)&gt;720,$N$23*(33/12),"")</f>
      </c>
      <c r="F40" s="61">
        <f>IF($N$23*(33/12)&gt;720,"dias","")</f>
      </c>
      <c r="G40" s="35">
        <f>IF($N$23*(33/12)&gt;720,720,$N$23*(33/12))</f>
        <v>19.25</v>
      </c>
      <c r="H40" s="35" t="s">
        <v>24</v>
      </c>
      <c r="I40" s="35"/>
      <c r="J40" s="35" t="s">
        <v>20</v>
      </c>
      <c r="K40" s="35">
        <f>$K$25</f>
        <v>30.72</v>
      </c>
      <c r="L40" s="35" t="s">
        <v>7</v>
      </c>
      <c r="M40" s="35" t="s">
        <v>21</v>
      </c>
      <c r="N40" s="211">
        <f>K40*G40</f>
        <v>591.36</v>
      </c>
      <c r="O40" s="212"/>
    </row>
    <row r="41" spans="2:15" ht="2.25" customHeight="1" thickBot="1">
      <c r="B41" s="37"/>
      <c r="C41" s="9"/>
      <c r="D41" s="9"/>
      <c r="E41" s="9"/>
      <c r="F41" s="9"/>
      <c r="G41" s="9"/>
      <c r="H41" s="9"/>
      <c r="I41" s="9"/>
      <c r="J41" s="9"/>
      <c r="K41" s="9"/>
      <c r="L41" s="9"/>
      <c r="M41" s="41"/>
      <c r="N41" s="218"/>
      <c r="O41" s="219"/>
    </row>
    <row r="42" spans="2:15" ht="4.5" customHeight="1" thickBot="1">
      <c r="B42" s="99"/>
      <c r="C42" s="18"/>
      <c r="D42" s="18"/>
      <c r="E42" s="18"/>
      <c r="F42" s="18"/>
      <c r="G42" s="18"/>
      <c r="H42" s="18"/>
      <c r="I42" s="10"/>
      <c r="J42" s="18"/>
      <c r="K42" s="18"/>
      <c r="L42" s="18"/>
      <c r="M42" s="48"/>
      <c r="N42" s="146"/>
      <c r="O42" s="146"/>
    </row>
    <row r="43" spans="2:15" ht="15.75" customHeight="1">
      <c r="B43" s="2" t="s">
        <v>25</v>
      </c>
      <c r="C43" s="3"/>
      <c r="D43" s="3"/>
      <c r="E43" s="3"/>
      <c r="F43" s="3"/>
      <c r="G43" s="3"/>
      <c r="H43" s="3"/>
      <c r="I43" s="3"/>
      <c r="J43" s="3"/>
      <c r="K43" s="3"/>
      <c r="L43" s="3"/>
      <c r="M43" s="3"/>
      <c r="N43" s="3"/>
      <c r="O43" s="4"/>
    </row>
    <row r="44" spans="2:15" ht="3.75" customHeight="1">
      <c r="B44" s="15"/>
      <c r="C44" s="18"/>
      <c r="D44" s="18"/>
      <c r="E44" s="18"/>
      <c r="F44" s="18"/>
      <c r="G44" s="18"/>
      <c r="H44" s="18"/>
      <c r="I44" s="18"/>
      <c r="J44" s="18"/>
      <c r="K44" s="18"/>
      <c r="L44" s="18"/>
      <c r="M44" s="18"/>
      <c r="N44" s="18"/>
      <c r="O44" s="17"/>
    </row>
    <row r="45" spans="2:15" ht="15.75" customHeight="1">
      <c r="B45" s="44" t="s">
        <v>8</v>
      </c>
      <c r="C45" s="45"/>
      <c r="D45" s="45" t="s">
        <v>26</v>
      </c>
      <c r="E45" s="46">
        <v>45</v>
      </c>
      <c r="F45" s="45" t="s">
        <v>27</v>
      </c>
      <c r="G45" s="47"/>
      <c r="H45" s="28" t="s">
        <v>9</v>
      </c>
      <c r="I45" s="45"/>
      <c r="J45" s="45" t="s">
        <v>28</v>
      </c>
      <c r="K45" s="46">
        <v>33</v>
      </c>
      <c r="L45" s="47" t="s">
        <v>27</v>
      </c>
      <c r="M45" s="18"/>
      <c r="N45" s="30" t="s">
        <v>3</v>
      </c>
      <c r="O45" s="17"/>
    </row>
    <row r="46" spans="2:15" ht="15.75" customHeight="1">
      <c r="B46" s="15">
        <f>B20</f>
        <v>0</v>
      </c>
      <c r="C46" s="18" t="s">
        <v>5</v>
      </c>
      <c r="D46" s="18"/>
      <c r="E46" s="145">
        <f>B46*E45</f>
        <v>0</v>
      </c>
      <c r="F46" s="18" t="s">
        <v>1</v>
      </c>
      <c r="G46" s="18"/>
      <c r="H46" s="18">
        <f>H20</f>
        <v>0</v>
      </c>
      <c r="I46" s="18" t="s">
        <v>5</v>
      </c>
      <c r="J46" s="18"/>
      <c r="K46" s="145">
        <f>H46*K45</f>
        <v>0</v>
      </c>
      <c r="L46" s="18" t="s">
        <v>1</v>
      </c>
      <c r="M46" s="18"/>
      <c r="N46" s="18">
        <f>N20</f>
        <v>0</v>
      </c>
      <c r="O46" s="17" t="s">
        <v>5</v>
      </c>
    </row>
    <row r="47" spans="2:15" ht="15.75" customHeight="1">
      <c r="B47" s="15">
        <f>B21</f>
        <v>3</v>
      </c>
      <c r="C47" s="18" t="s">
        <v>6</v>
      </c>
      <c r="D47" s="18"/>
      <c r="E47" s="18">
        <f>ROUND((B47/12)*E45,2)</f>
        <v>11.25</v>
      </c>
      <c r="F47" s="18" t="s">
        <v>1</v>
      </c>
      <c r="G47" s="18"/>
      <c r="H47" s="18">
        <f>H21</f>
        <v>3</v>
      </c>
      <c r="I47" s="18" t="s">
        <v>6</v>
      </c>
      <c r="J47" s="18"/>
      <c r="K47" s="18">
        <f>ROUND((H47/12)*K45,2)</f>
        <v>8.25</v>
      </c>
      <c r="L47" s="18" t="s">
        <v>1</v>
      </c>
      <c r="M47" s="18"/>
      <c r="N47" s="18">
        <f>N21</f>
        <v>6</v>
      </c>
      <c r="O47" s="17" t="s">
        <v>6</v>
      </c>
    </row>
    <row r="48" spans="2:17" ht="15.75" customHeight="1">
      <c r="B48" s="32">
        <f>B22</f>
        <v>10</v>
      </c>
      <c r="C48" s="34" t="s">
        <v>1</v>
      </c>
      <c r="D48" s="34"/>
      <c r="E48" s="34">
        <f>ROUND(IF(B48&gt;0,E45/12,0),2)</f>
        <v>3.75</v>
      </c>
      <c r="F48" s="34" t="s">
        <v>1</v>
      </c>
      <c r="G48" s="18"/>
      <c r="H48" s="34">
        <f>H22</f>
        <v>10</v>
      </c>
      <c r="I48" s="34" t="s">
        <v>1</v>
      </c>
      <c r="J48" s="34"/>
      <c r="K48" s="34">
        <f>ROUND(IF(H48&gt;0,K45/12,0),2)</f>
        <v>2.75</v>
      </c>
      <c r="L48" s="34" t="s">
        <v>1</v>
      </c>
      <c r="M48" s="18"/>
      <c r="N48" s="34">
        <f>N22</f>
        <v>20</v>
      </c>
      <c r="O48" s="149" t="s">
        <v>1</v>
      </c>
      <c r="Q48" s="63"/>
    </row>
    <row r="49" spans="2:17" ht="15.75" customHeight="1">
      <c r="B49" s="15">
        <f>B46*12+B47+IF(B48&gt;0,1,0)</f>
        <v>4</v>
      </c>
      <c r="C49" s="18" t="s">
        <v>6</v>
      </c>
      <c r="D49" s="18"/>
      <c r="E49" s="60">
        <f>SUM(E46:E48)</f>
        <v>15</v>
      </c>
      <c r="F49" s="35" t="s">
        <v>1</v>
      </c>
      <c r="G49" s="18"/>
      <c r="H49" s="91">
        <f>H46*12+H47+IF(H48&gt;0,1,0)</f>
        <v>4</v>
      </c>
      <c r="I49" s="18" t="s">
        <v>6</v>
      </c>
      <c r="J49" s="18"/>
      <c r="K49" s="60">
        <f>IF(SUM(K46:K48)&gt;0,SUM(K46:K48),0)</f>
        <v>11</v>
      </c>
      <c r="L49" s="35" t="s">
        <v>1</v>
      </c>
      <c r="M49" s="18"/>
      <c r="N49" s="91">
        <f>H49+B49</f>
        <v>8</v>
      </c>
      <c r="O49" s="17" t="s">
        <v>6</v>
      </c>
      <c r="Q49" s="63"/>
    </row>
    <row r="50" spans="2:17" ht="4.5" customHeight="1">
      <c r="B50" s="15"/>
      <c r="C50" s="18"/>
      <c r="D50" s="18"/>
      <c r="E50" s="18"/>
      <c r="F50" s="18"/>
      <c r="G50" s="18"/>
      <c r="H50" s="18"/>
      <c r="I50" s="18"/>
      <c r="J50" s="18"/>
      <c r="K50" s="18"/>
      <c r="L50" s="18"/>
      <c r="M50" s="18"/>
      <c r="N50" s="18"/>
      <c r="O50" s="17"/>
      <c r="Q50" s="63"/>
    </row>
    <row r="51" spans="2:17" ht="15.75" customHeight="1">
      <c r="B51" s="15"/>
      <c r="C51" s="35" t="s">
        <v>0</v>
      </c>
      <c r="D51" s="35"/>
      <c r="E51" s="35"/>
      <c r="F51" s="35"/>
      <c r="G51" s="60">
        <f>IF((K49+E49)&gt;720,IF(E49&gt;1260,1260,IF(E49&lt;720,720,E49)),(K49+E49))</f>
        <v>26</v>
      </c>
      <c r="H51" s="35" t="s">
        <v>10</v>
      </c>
      <c r="I51" s="35"/>
      <c r="J51" s="35" t="s">
        <v>20</v>
      </c>
      <c r="K51" s="35">
        <f>K25</f>
        <v>30.72</v>
      </c>
      <c r="L51" s="35" t="s">
        <v>7</v>
      </c>
      <c r="M51" s="35" t="s">
        <v>21</v>
      </c>
      <c r="N51" s="211">
        <f>IF((K49+E49)&gt;720,IF(E49&gt;1260,K51*1260,IF(E49&lt;720,K51*720,E49*K51)),(K49+E49)*K51)</f>
        <v>798.72</v>
      </c>
      <c r="O51" s="212"/>
      <c r="Q51" s="63"/>
    </row>
    <row r="52" spans="2:17" ht="5.25" customHeight="1" thickBot="1">
      <c r="B52" s="37">
        <f>IF((E49+K49)&gt;720,IF(E48&gt;1260,"Se aplica el límite, 42 mensualidades por el periodo anterior al 12/02/2012",IF(E49&lt;720,"Se aplica el límite de 720 días","La indemnización es mayor de 720 días, sólo computa el periodo anterior al 12/02/2012")),"")</f>
      </c>
      <c r="C52" s="9"/>
      <c r="D52" s="9"/>
      <c r="E52" s="9"/>
      <c r="F52" s="9"/>
      <c r="G52" s="9"/>
      <c r="H52" s="9"/>
      <c r="I52" s="9"/>
      <c r="J52" s="9"/>
      <c r="K52" s="9"/>
      <c r="L52" s="9"/>
      <c r="M52" s="9"/>
      <c r="N52" s="203"/>
      <c r="O52" s="204"/>
      <c r="Q52" s="63"/>
    </row>
    <row r="53" spans="2:17" ht="6" customHeight="1" thickBot="1">
      <c r="B53" s="91"/>
      <c r="C53" s="91"/>
      <c r="D53" s="91"/>
      <c r="E53" s="91"/>
      <c r="F53" s="91"/>
      <c r="G53" s="91"/>
      <c r="H53" s="91"/>
      <c r="I53" s="91"/>
      <c r="J53" s="91"/>
      <c r="K53" s="91"/>
      <c r="L53" s="91"/>
      <c r="M53" s="91"/>
      <c r="N53" s="154"/>
      <c r="O53" s="154"/>
      <c r="Q53" s="63"/>
    </row>
    <row r="54" spans="2:17" ht="15.75" customHeight="1" thickBot="1" thickTop="1">
      <c r="B54" s="262" t="s">
        <v>4</v>
      </c>
      <c r="C54" s="263"/>
      <c r="D54" s="263"/>
      <c r="E54" s="263"/>
      <c r="F54" s="263"/>
      <c r="G54" s="263"/>
      <c r="H54" s="263"/>
      <c r="I54" s="263"/>
      <c r="J54" s="263"/>
      <c r="K54" s="263"/>
      <c r="L54" s="263"/>
      <c r="M54" s="263"/>
      <c r="N54" s="263"/>
      <c r="O54" s="264"/>
      <c r="Q54" s="63"/>
    </row>
    <row r="55" spans="2:15" ht="6" customHeight="1" thickTop="1">
      <c r="B55" s="155"/>
      <c r="C55" s="91"/>
      <c r="D55" s="91"/>
      <c r="E55" s="91"/>
      <c r="F55" s="91"/>
      <c r="G55" s="91"/>
      <c r="H55" s="91"/>
      <c r="I55" s="91"/>
      <c r="J55" s="91"/>
      <c r="K55" s="91"/>
      <c r="L55" s="91"/>
      <c r="M55" s="91"/>
      <c r="N55" s="154"/>
      <c r="O55" s="156"/>
    </row>
    <row r="56" spans="2:15" ht="15.75" customHeight="1">
      <c r="B56" s="157" t="s">
        <v>44</v>
      </c>
      <c r="C56" s="71">
        <f>CALCULADORA!N69</f>
        <v>83.84</v>
      </c>
      <c r="D56" s="91"/>
      <c r="E56" s="91"/>
      <c r="F56" s="91"/>
      <c r="G56" s="91"/>
      <c r="H56" s="91"/>
      <c r="I56" s="91"/>
      <c r="J56" s="91"/>
      <c r="K56" s="91"/>
      <c r="L56" s="91"/>
      <c r="M56" s="91"/>
      <c r="N56" s="154"/>
      <c r="O56" s="156"/>
    </row>
    <row r="57" spans="2:15" ht="4.5" customHeight="1" thickBot="1">
      <c r="B57" s="155"/>
      <c r="C57" s="91"/>
      <c r="D57" s="91"/>
      <c r="E57" s="91"/>
      <c r="F57" s="91"/>
      <c r="G57" s="91"/>
      <c r="H57" s="91"/>
      <c r="I57" s="91"/>
      <c r="J57" s="91"/>
      <c r="K57" s="91"/>
      <c r="L57" s="91"/>
      <c r="M57" s="91"/>
      <c r="N57" s="91"/>
      <c r="O57" s="158"/>
    </row>
    <row r="58" spans="2:15" ht="15.75" customHeight="1">
      <c r="B58" s="101" t="s">
        <v>22</v>
      </c>
      <c r="C58" s="12"/>
      <c r="D58" s="3"/>
      <c r="E58" s="3"/>
      <c r="F58" s="3"/>
      <c r="G58" s="12"/>
      <c r="H58" s="3"/>
      <c r="I58" s="3"/>
      <c r="J58" s="3"/>
      <c r="K58" s="3"/>
      <c r="L58" s="3"/>
      <c r="M58" s="3"/>
      <c r="N58" s="3"/>
      <c r="O58" s="102"/>
    </row>
    <row r="59" spans="2:15" ht="4.5" customHeight="1">
      <c r="B59" s="103"/>
      <c r="C59" s="18"/>
      <c r="D59" s="18"/>
      <c r="E59" s="18"/>
      <c r="F59" s="18"/>
      <c r="G59" s="18"/>
      <c r="H59" s="18"/>
      <c r="I59" s="18"/>
      <c r="J59" s="18"/>
      <c r="K59" s="18"/>
      <c r="L59" s="18"/>
      <c r="M59" s="18"/>
      <c r="N59" s="18"/>
      <c r="O59" s="104"/>
    </row>
    <row r="60" spans="2:15" ht="15.75" customHeight="1">
      <c r="B60" s="103"/>
      <c r="C60" s="35">
        <f>IF($N$23*(30/12)&gt;365,365,$N$23*(30/12))</f>
        <v>17.5</v>
      </c>
      <c r="D60" s="35"/>
      <c r="E60" s="35" t="s">
        <v>34</v>
      </c>
      <c r="F60" s="60">
        <f>IF($K$25&gt;$C$56,$C$56,$K$25)</f>
        <v>30.72</v>
      </c>
      <c r="G60" s="35" t="s">
        <v>7</v>
      </c>
      <c r="H60" s="35" t="s">
        <v>21</v>
      </c>
      <c r="I60" s="211">
        <f>F60*C60</f>
        <v>537.6</v>
      </c>
      <c r="J60" s="211"/>
      <c r="K60" s="211"/>
      <c r="L60" s="91" t="s">
        <v>57</v>
      </c>
      <c r="M60" s="18"/>
      <c r="N60" s="18"/>
      <c r="O60" s="104"/>
    </row>
    <row r="61" spans="2:15" ht="5.25" customHeight="1" thickBot="1">
      <c r="B61" s="105">
        <f>IF($K$25&gt;$C$56,"Límite FOGASA: doble del SMI","")</f>
      </c>
      <c r="C61" s="9"/>
      <c r="D61" s="51"/>
      <c r="E61" s="9"/>
      <c r="F61" s="9"/>
      <c r="G61" s="92">
        <f>IF($N$23*(30/12)&gt;365,"El FOGASA no abona más de una anualidad","")</f>
      </c>
      <c r="H61" s="9"/>
      <c r="I61" s="9"/>
      <c r="J61" s="9"/>
      <c r="K61" s="9"/>
      <c r="L61" s="9"/>
      <c r="M61" s="9"/>
      <c r="N61" s="9"/>
      <c r="O61" s="106"/>
    </row>
    <row r="62" spans="2:15" ht="6.75" customHeight="1" thickBot="1">
      <c r="B62" s="103"/>
      <c r="C62" s="18"/>
      <c r="D62" s="18"/>
      <c r="E62" s="18"/>
      <c r="F62" s="18"/>
      <c r="G62" s="18"/>
      <c r="H62" s="18"/>
      <c r="I62" s="18"/>
      <c r="J62" s="18"/>
      <c r="K62" s="18"/>
      <c r="L62" s="18"/>
      <c r="M62" s="18"/>
      <c r="N62" s="18"/>
      <c r="O62" s="104"/>
    </row>
    <row r="63" spans="2:15" ht="15.75" customHeight="1">
      <c r="B63" s="101" t="s">
        <v>23</v>
      </c>
      <c r="C63" s="12"/>
      <c r="D63" s="3"/>
      <c r="E63" s="3"/>
      <c r="F63" s="3"/>
      <c r="G63" s="3"/>
      <c r="H63" s="3"/>
      <c r="I63" s="3"/>
      <c r="J63" s="3"/>
      <c r="K63" s="3"/>
      <c r="L63" s="3"/>
      <c r="M63" s="3"/>
      <c r="N63" s="3"/>
      <c r="O63" s="102"/>
    </row>
    <row r="64" spans="2:15" ht="3" customHeight="1">
      <c r="B64" s="103"/>
      <c r="C64" s="18"/>
      <c r="D64" s="18"/>
      <c r="E64" s="18"/>
      <c r="F64" s="18"/>
      <c r="G64" s="18"/>
      <c r="H64" s="18"/>
      <c r="I64" s="18"/>
      <c r="J64" s="18"/>
      <c r="K64" s="18"/>
      <c r="L64" s="18"/>
      <c r="M64" s="18"/>
      <c r="N64" s="18"/>
      <c r="O64" s="104"/>
    </row>
    <row r="65" spans="2:15" ht="15.75" customHeight="1">
      <c r="B65" s="103"/>
      <c r="C65" s="60">
        <f>G30</f>
        <v>11.666666666666668</v>
      </c>
      <c r="D65" s="35"/>
      <c r="E65" s="35" t="s">
        <v>34</v>
      </c>
      <c r="F65" s="60">
        <f>F60</f>
        <v>30.72</v>
      </c>
      <c r="G65" s="35" t="s">
        <v>7</v>
      </c>
      <c r="H65" s="35" t="s">
        <v>21</v>
      </c>
      <c r="I65" s="211">
        <f>F65*C65</f>
        <v>358.40000000000003</v>
      </c>
      <c r="J65" s="211"/>
      <c r="K65" s="211"/>
      <c r="L65" s="91" t="s">
        <v>57</v>
      </c>
      <c r="M65" s="18"/>
      <c r="N65" s="18"/>
      <c r="O65" s="104"/>
    </row>
    <row r="66" spans="2:15" ht="5.25" customHeight="1" thickBot="1">
      <c r="B66" s="105">
        <f>B61</f>
      </c>
      <c r="C66" s="9"/>
      <c r="D66" s="51"/>
      <c r="E66" s="9"/>
      <c r="F66" s="9"/>
      <c r="G66" s="92"/>
      <c r="H66" s="9"/>
      <c r="I66" s="9"/>
      <c r="J66" s="9"/>
      <c r="K66" s="9"/>
      <c r="L66" s="9"/>
      <c r="M66" s="9"/>
      <c r="N66" s="9"/>
      <c r="O66" s="106"/>
    </row>
    <row r="67" spans="2:15" ht="3.75" customHeight="1" thickBot="1">
      <c r="B67" s="107"/>
      <c r="C67" s="18"/>
      <c r="D67" s="99"/>
      <c r="E67" s="18"/>
      <c r="F67" s="18"/>
      <c r="G67" s="100"/>
      <c r="H67" s="18"/>
      <c r="I67" s="18"/>
      <c r="J67" s="18"/>
      <c r="K67" s="18"/>
      <c r="L67" s="18"/>
      <c r="M67" s="18"/>
      <c r="N67" s="18"/>
      <c r="O67" s="104"/>
    </row>
    <row r="68" spans="2:15" ht="15" customHeight="1">
      <c r="B68" s="101" t="s">
        <v>61</v>
      </c>
      <c r="C68" s="3"/>
      <c r="D68" s="3"/>
      <c r="E68" s="3"/>
      <c r="F68" s="3"/>
      <c r="G68" s="3"/>
      <c r="H68" s="3"/>
      <c r="I68" s="3"/>
      <c r="J68" s="3"/>
      <c r="K68" s="3"/>
      <c r="L68" s="3"/>
      <c r="M68" s="3"/>
      <c r="N68" s="3"/>
      <c r="O68" s="102"/>
    </row>
    <row r="69" spans="2:15" ht="4.5" customHeight="1">
      <c r="B69" s="103"/>
      <c r="C69" s="18"/>
      <c r="D69" s="18"/>
      <c r="E69" s="18"/>
      <c r="F69" s="18"/>
      <c r="G69" s="18"/>
      <c r="H69" s="18"/>
      <c r="I69" s="18"/>
      <c r="J69" s="18"/>
      <c r="K69" s="18"/>
      <c r="L69" s="18"/>
      <c r="M69" s="18"/>
      <c r="N69" s="18"/>
      <c r="O69" s="104"/>
    </row>
    <row r="70" spans="2:15" ht="12.75">
      <c r="B70" s="103"/>
      <c r="C70" s="40" t="s">
        <v>76</v>
      </c>
      <c r="D70" s="18"/>
      <c r="E70" s="265">
        <v>0</v>
      </c>
      <c r="F70" s="265"/>
      <c r="G70" s="18"/>
      <c r="H70" s="18">
        <f>IF(E70&gt;120,120,E70)</f>
        <v>0</v>
      </c>
      <c r="I70" s="91" t="s">
        <v>77</v>
      </c>
      <c r="J70" s="18" t="s">
        <v>20</v>
      </c>
      <c r="K70" s="145">
        <f>F60</f>
        <v>30.72</v>
      </c>
      <c r="L70" s="18" t="s">
        <v>7</v>
      </c>
      <c r="M70" s="18" t="s">
        <v>21</v>
      </c>
      <c r="N70" s="239">
        <f>K70*H70</f>
        <v>0</v>
      </c>
      <c r="O70" s="240"/>
    </row>
    <row r="71" spans="2:15" ht="12.75" customHeight="1" thickBot="1">
      <c r="B71" s="159">
        <f>B61</f>
      </c>
      <c r="C71" s="160"/>
      <c r="D71" s="160"/>
      <c r="E71" s="160"/>
      <c r="F71" s="160"/>
      <c r="G71" s="161">
        <f>IF((E70)&gt;120,"El FOGASA no abona más de 120 días","")</f>
      </c>
      <c r="H71" s="160"/>
      <c r="I71" s="160"/>
      <c r="J71" s="160"/>
      <c r="K71" s="160"/>
      <c r="L71" s="160"/>
      <c r="M71" s="160"/>
      <c r="N71" s="250"/>
      <c r="O71" s="251"/>
    </row>
    <row r="72" ht="6.75" customHeight="1" thickBot="1" thickTop="1"/>
    <row r="73" spans="2:15" ht="12.75">
      <c r="B73" s="2" t="s">
        <v>29</v>
      </c>
      <c r="C73" s="3"/>
      <c r="D73" s="3"/>
      <c r="E73" s="3"/>
      <c r="F73" s="3"/>
      <c r="G73" s="3"/>
      <c r="H73" s="3"/>
      <c r="I73" s="3"/>
      <c r="J73" s="3"/>
      <c r="K73" s="3"/>
      <c r="L73" s="3"/>
      <c r="M73" s="3"/>
      <c r="N73" s="3"/>
      <c r="O73" s="4"/>
    </row>
    <row r="74" spans="2:15" ht="5.25" customHeight="1">
      <c r="B74" s="15"/>
      <c r="C74" s="18"/>
      <c r="D74" s="18"/>
      <c r="E74" s="18"/>
      <c r="F74" s="18"/>
      <c r="G74" s="18"/>
      <c r="H74" s="18"/>
      <c r="I74" s="18"/>
      <c r="J74" s="18"/>
      <c r="K74" s="18"/>
      <c r="L74" s="18"/>
      <c r="M74" s="18"/>
      <c r="N74" s="18"/>
      <c r="O74" s="17"/>
    </row>
    <row r="75" spans="2:15" ht="12.75">
      <c r="B75" s="15"/>
      <c r="C75" s="40" t="s">
        <v>78</v>
      </c>
      <c r="D75" s="18"/>
      <c r="E75" s="265">
        <v>0</v>
      </c>
      <c r="F75" s="265"/>
      <c r="G75" s="18"/>
      <c r="H75" s="166">
        <f>E75</f>
        <v>0</v>
      </c>
      <c r="I75" s="91" t="s">
        <v>77</v>
      </c>
      <c r="J75" s="18" t="s">
        <v>20</v>
      </c>
      <c r="K75" s="18">
        <f>K25</f>
        <v>30.72</v>
      </c>
      <c r="L75" s="18" t="s">
        <v>7</v>
      </c>
      <c r="M75" s="18" t="s">
        <v>21</v>
      </c>
      <c r="N75" s="239">
        <f>K75*H75</f>
        <v>0</v>
      </c>
      <c r="O75" s="242"/>
    </row>
    <row r="76" spans="2:15" ht="12.75">
      <c r="B76" s="15"/>
      <c r="C76" s="18"/>
      <c r="D76" s="18"/>
      <c r="E76" s="18"/>
      <c r="F76" s="18"/>
      <c r="G76" s="18"/>
      <c r="H76" s="18"/>
      <c r="I76" s="18"/>
      <c r="J76" s="18"/>
      <c r="K76" s="18" t="s">
        <v>31</v>
      </c>
      <c r="L76" s="18"/>
      <c r="M76" s="18" t="s">
        <v>21</v>
      </c>
      <c r="N76" s="239">
        <f>N75*(4.7+1.55+0.1)%</f>
        <v>0</v>
      </c>
      <c r="O76" s="242"/>
    </row>
    <row r="77" spans="2:15" ht="12.75">
      <c r="B77" s="15"/>
      <c r="C77" s="18"/>
      <c r="D77" s="18"/>
      <c r="E77" s="18"/>
      <c r="F77" s="18"/>
      <c r="G77" s="18"/>
      <c r="H77" s="48" t="s">
        <v>2</v>
      </c>
      <c r="I77" s="243">
        <v>0.02</v>
      </c>
      <c r="J77" s="243"/>
      <c r="K77" s="18" t="s">
        <v>32</v>
      </c>
      <c r="L77" s="18"/>
      <c r="M77" s="18" t="s">
        <v>21</v>
      </c>
      <c r="N77" s="239">
        <f>N75*I77</f>
        <v>0</v>
      </c>
      <c r="O77" s="242"/>
    </row>
    <row r="78" spans="2:15" ht="12.75">
      <c r="B78" s="15"/>
      <c r="C78" s="18"/>
      <c r="D78" s="18"/>
      <c r="E78" s="18"/>
      <c r="F78" s="18"/>
      <c r="G78" s="18"/>
      <c r="H78" s="18"/>
      <c r="I78" s="18"/>
      <c r="J78" s="18"/>
      <c r="K78" s="49" t="s">
        <v>33</v>
      </c>
      <c r="L78" s="50"/>
      <c r="M78" s="50"/>
      <c r="N78" s="244">
        <f>N75-N76-N77</f>
        <v>0</v>
      </c>
      <c r="O78" s="245"/>
    </row>
    <row r="79" spans="1:15" ht="3" customHeight="1" thickBot="1">
      <c r="A79" s="52"/>
      <c r="B79" s="24"/>
      <c r="C79" s="9"/>
      <c r="D79" s="9"/>
      <c r="E79" s="9"/>
      <c r="F79" s="9"/>
      <c r="G79" s="9"/>
      <c r="H79" s="9"/>
      <c r="I79" s="9"/>
      <c r="J79" s="9"/>
      <c r="K79" s="9"/>
      <c r="L79" s="9"/>
      <c r="M79" s="9"/>
      <c r="N79" s="9"/>
      <c r="O79" s="26"/>
    </row>
    <row r="80" ht="15">
      <c r="A80" s="52"/>
    </row>
    <row r="81" ht="15">
      <c r="A81" s="52"/>
    </row>
    <row r="82" ht="15">
      <c r="A82" s="52"/>
    </row>
    <row r="83" ht="15">
      <c r="A83" s="52"/>
    </row>
    <row r="84" ht="15">
      <c r="A84" s="52"/>
    </row>
    <row r="85" ht="15">
      <c r="A85" s="52"/>
    </row>
    <row r="86" ht="15">
      <c r="A86" s="52"/>
    </row>
    <row r="87" ht="15">
      <c r="A87" s="52"/>
    </row>
    <row r="88" ht="15">
      <c r="A88" s="52"/>
    </row>
    <row r="89" ht="15">
      <c r="A89" s="52"/>
    </row>
    <row r="90" ht="15">
      <c r="A90" s="52"/>
    </row>
    <row r="91" ht="15">
      <c r="A91" s="52"/>
    </row>
    <row r="92" ht="15">
      <c r="A92" s="52"/>
    </row>
    <row r="93" ht="15">
      <c r="A93" s="52"/>
    </row>
    <row r="94" ht="15">
      <c r="A94" s="52"/>
    </row>
    <row r="95" ht="15">
      <c r="A95" s="52"/>
    </row>
    <row r="96" ht="15">
      <c r="A96" s="52"/>
    </row>
    <row r="97" ht="15">
      <c r="A97" s="53"/>
    </row>
    <row r="98" ht="15">
      <c r="A98" s="53"/>
    </row>
  </sheetData>
  <sheetProtection password="B8E7" sheet="1" selectLockedCells="1"/>
  <mergeCells count="39">
    <mergeCell ref="H9:K9"/>
    <mergeCell ref="B11:O11"/>
    <mergeCell ref="N31:O31"/>
    <mergeCell ref="B1:O2"/>
    <mergeCell ref="C4:L4"/>
    <mergeCell ref="H8:K8"/>
    <mergeCell ref="N78:O78"/>
    <mergeCell ref="C3:L3"/>
    <mergeCell ref="L7:M7"/>
    <mergeCell ref="L9:M9"/>
    <mergeCell ref="L6:O6"/>
    <mergeCell ref="H6:K6"/>
    <mergeCell ref="H7:K7"/>
    <mergeCell ref="N52:O52"/>
    <mergeCell ref="N25:O25"/>
    <mergeCell ref="N30:O30"/>
    <mergeCell ref="N71:O71"/>
    <mergeCell ref="E75:F75"/>
    <mergeCell ref="N75:O75"/>
    <mergeCell ref="N76:O76"/>
    <mergeCell ref="I77:J77"/>
    <mergeCell ref="N77:O77"/>
    <mergeCell ref="B54:O54"/>
    <mergeCell ref="I60:K60"/>
    <mergeCell ref="I65:K65"/>
    <mergeCell ref="E70:F70"/>
    <mergeCell ref="N70:O70"/>
    <mergeCell ref="N35:O35"/>
    <mergeCell ref="N36:O36"/>
    <mergeCell ref="B40:D40"/>
    <mergeCell ref="N40:O40"/>
    <mergeCell ref="N41:O41"/>
    <mergeCell ref="N51:O51"/>
    <mergeCell ref="K19:L19"/>
    <mergeCell ref="I19:J19"/>
    <mergeCell ref="D19:F19"/>
    <mergeCell ref="B30:D30"/>
    <mergeCell ref="H31:I31"/>
    <mergeCell ref="B35:D35"/>
  </mergeCells>
  <conditionalFormatting sqref="L9:L10">
    <cfRule type="expression" priority="1" dxfId="0" stopIfTrue="1">
      <formula>$L$8&lt;&gt;1</formula>
    </cfRule>
  </conditionalFormatting>
  <hyperlinks>
    <hyperlink ref="H9" r:id="rId1" display="www.herminioduarte.com"/>
  </hyperlinks>
  <printOptions/>
  <pageMargins left="0.7086614173228347" right="0.7086614173228347" top="0.7480314960629921" bottom="0.7480314960629921" header="0.31496062992125984" footer="0.31496062992125984"/>
  <pageSetup fitToHeight="1" fitToWidth="1" horizontalDpi="200" verticalDpi="200" orientation="portrait" paperSize="9" scale="76"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Guimen Asesores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Herminio Duarte Molina</dc:creator>
  <cp:keywords/>
  <dc:description/>
  <cp:lastModifiedBy>Herminio Duarte</cp:lastModifiedBy>
  <cp:lastPrinted>2019-01-20T19:24:01Z</cp:lastPrinted>
  <dcterms:created xsi:type="dcterms:W3CDTF">2001-08-06T07:29:49Z</dcterms:created>
  <dcterms:modified xsi:type="dcterms:W3CDTF">2023-04-23T16:40:02Z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